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uk\Борисов\РАБОТА\2017\ИНВЕСТ 2016-2019 НОВОЕ\"/>
    </mc:Choice>
  </mc:AlternateContent>
  <bookViews>
    <workbookView xWindow="0" yWindow="0" windowWidth="28800" windowHeight="12435" firstSheet="1" activeTab="1"/>
  </bookViews>
  <sheets>
    <sheet name="БДР подробный" sheetId="2" r:id="rId1"/>
    <sheet name="БДР сжатый и БДДС" sheetId="3" r:id="rId2"/>
    <sheet name="источники" sheetId="4" r:id="rId3"/>
  </sheets>
  <externalReferences>
    <externalReference r:id="rId4"/>
    <externalReference r:id="rId5"/>
  </externalReferences>
  <definedNames>
    <definedName name="_xlnm.Print_Area" localSheetId="2">источники!$A$1:$H$48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G56" i="3"/>
  <c r="G54" i="3"/>
  <c r="G49" i="3"/>
  <c r="G45" i="3"/>
  <c r="G41" i="3"/>
  <c r="G42" i="3"/>
  <c r="G43" i="3"/>
  <c r="G40" i="3"/>
  <c r="G36" i="3"/>
  <c r="G37" i="3"/>
  <c r="G35" i="3"/>
  <c r="B30" i="3"/>
  <c r="C30" i="3"/>
  <c r="G29" i="3"/>
  <c r="G28" i="3"/>
  <c r="G30" i="3" s="1"/>
  <c r="G27" i="3"/>
  <c r="G26" i="3"/>
  <c r="G25" i="3"/>
  <c r="G22" i="3"/>
  <c r="G23" i="3"/>
  <c r="G21" i="3"/>
  <c r="G17" i="3"/>
  <c r="G18" i="3"/>
  <c r="G16" i="3"/>
  <c r="H25" i="4"/>
  <c r="H24" i="4"/>
  <c r="H18" i="4"/>
  <c r="C25" i="4"/>
  <c r="C18" i="4"/>
  <c r="C17" i="4"/>
  <c r="C41" i="4" s="1"/>
  <c r="B55" i="3"/>
  <c r="B68" i="3"/>
  <c r="B20" i="3"/>
  <c r="B52" i="3"/>
  <c r="B57" i="3" s="1"/>
  <c r="B50" i="3"/>
  <c r="B43" i="3"/>
  <c r="B39" i="3" s="1"/>
  <c r="B38" i="3"/>
  <c r="B34" i="3" s="1"/>
  <c r="B18" i="3"/>
  <c r="B17" i="3"/>
  <c r="B16" i="3"/>
  <c r="C68" i="2"/>
  <c r="C73" i="2"/>
  <c r="C90" i="2"/>
  <c r="C83" i="2"/>
  <c r="C59" i="2"/>
  <c r="C54" i="2"/>
  <c r="C52" i="2"/>
  <c r="C48" i="2"/>
  <c r="C43" i="2" s="1"/>
  <c r="C37" i="2"/>
  <c r="C36" i="2"/>
  <c r="C34" i="2"/>
  <c r="C33" i="2"/>
  <c r="C31" i="2"/>
  <c r="C29" i="2"/>
  <c r="C27" i="2" s="1"/>
  <c r="C26" i="2"/>
  <c r="C24" i="2"/>
  <c r="C23" i="2" s="1"/>
  <c r="C21" i="2" s="1"/>
  <c r="B46" i="3" l="1"/>
  <c r="B58" i="3" s="1"/>
  <c r="B64" i="3" s="1"/>
  <c r="B15" i="3"/>
  <c r="B25" i="3" s="1"/>
  <c r="B31" i="3" s="1"/>
  <c r="C86" i="2"/>
  <c r="C28" i="2"/>
  <c r="C85" i="2"/>
  <c r="C87" i="2" s="1"/>
  <c r="C42" i="2"/>
  <c r="C51" i="2" s="1"/>
  <c r="C53" i="2" s="1"/>
  <c r="E90" i="2"/>
  <c r="D90" i="2"/>
  <c r="D40" i="3"/>
  <c r="E40" i="3"/>
  <c r="F40" i="3"/>
  <c r="E56" i="3"/>
  <c r="G72" i="2"/>
  <c r="G68" i="2" s="1"/>
  <c r="F72" i="2"/>
  <c r="F68" i="2" s="1"/>
  <c r="D72" i="2"/>
  <c r="D68" i="2" s="1"/>
  <c r="D85" i="2" s="1"/>
  <c r="F77" i="2"/>
  <c r="F73" i="2" s="1"/>
  <c r="G77" i="2"/>
  <c r="G73" i="2" s="1"/>
  <c r="D77" i="2"/>
  <c r="D73" i="2" s="1"/>
  <c r="E63" i="2"/>
  <c r="F63" i="2"/>
  <c r="G63" i="2"/>
  <c r="D63" i="2"/>
  <c r="E67" i="2"/>
  <c r="F67" i="2"/>
  <c r="G67" i="2"/>
  <c r="D67" i="2"/>
  <c r="C40" i="3" l="1"/>
  <c r="E37" i="3" l="1"/>
  <c r="F37" i="3"/>
  <c r="D37" i="3"/>
  <c r="F43" i="3"/>
  <c r="E43" i="3"/>
  <c r="D43" i="3"/>
  <c r="D39" i="3" s="1"/>
  <c r="G37" i="2"/>
  <c r="F37" i="2"/>
  <c r="G24" i="2"/>
  <c r="F24" i="2"/>
  <c r="F49" i="3"/>
  <c r="E49" i="3"/>
  <c r="D49" i="3"/>
  <c r="E23" i="3"/>
  <c r="F23" i="3" s="1"/>
  <c r="E17" i="3"/>
  <c r="F17" i="3"/>
  <c r="G25" i="2"/>
  <c r="F25" i="2"/>
  <c r="E16" i="3"/>
  <c r="E18" i="3"/>
  <c r="F18" i="3"/>
  <c r="D36" i="3"/>
  <c r="E36" i="3" s="1"/>
  <c r="E26" i="3"/>
  <c r="F26" i="3"/>
  <c r="E24" i="2"/>
  <c r="D16" i="3"/>
  <c r="E48" i="2"/>
  <c r="E34" i="2"/>
  <c r="E55" i="3"/>
  <c r="F55" i="3"/>
  <c r="D56" i="3"/>
  <c r="E77" i="2" s="1"/>
  <c r="E73" i="2" s="1"/>
  <c r="D54" i="3"/>
  <c r="E72" i="2" s="1"/>
  <c r="E68" i="2" s="1"/>
  <c r="E85" i="2" s="1"/>
  <c r="F41" i="2"/>
  <c r="G41" i="2" s="1"/>
  <c r="F40" i="2"/>
  <c r="G40" i="2" s="1"/>
  <c r="F39" i="2"/>
  <c r="G39" i="2" s="1"/>
  <c r="G36" i="2"/>
  <c r="F36" i="2"/>
  <c r="F32" i="2"/>
  <c r="G32" i="2"/>
  <c r="F33" i="2"/>
  <c r="G33" i="2"/>
  <c r="F34" i="2"/>
  <c r="G34" i="2"/>
  <c r="G31" i="2"/>
  <c r="F31" i="2"/>
  <c r="F26" i="2"/>
  <c r="C55" i="3"/>
  <c r="C37" i="3"/>
  <c r="C68" i="3"/>
  <c r="D67" i="3" s="1"/>
  <c r="E52" i="2"/>
  <c r="D29" i="3" s="1"/>
  <c r="D28" i="3"/>
  <c r="D27" i="3" s="1"/>
  <c r="D22" i="3"/>
  <c r="E37" i="2"/>
  <c r="D26" i="3"/>
  <c r="C36" i="3"/>
  <c r="C35" i="3" s="1"/>
  <c r="D42" i="2"/>
  <c r="C29" i="3"/>
  <c r="C26" i="3"/>
  <c r="C27" i="3"/>
  <c r="C23" i="3"/>
  <c r="C21" i="3" s="1"/>
  <c r="C20" i="3" s="1"/>
  <c r="D34" i="2"/>
  <c r="D37" i="2"/>
  <c r="D17" i="3"/>
  <c r="D18" i="3"/>
  <c r="C18" i="3"/>
  <c r="C17" i="3"/>
  <c r="C16" i="3"/>
  <c r="E26" i="2"/>
  <c r="E36" i="2"/>
  <c r="E33" i="2"/>
  <c r="E39" i="2"/>
  <c r="E32" i="2"/>
  <c r="E31" i="2"/>
  <c r="D52" i="2"/>
  <c r="D48" i="2"/>
  <c r="D33" i="2"/>
  <c r="D32" i="2"/>
  <c r="D31" i="2"/>
  <c r="D26" i="2"/>
  <c r="D55" i="3" l="1"/>
  <c r="C43" i="3"/>
  <c r="C39" i="3" s="1"/>
  <c r="E35" i="3"/>
  <c r="F36" i="3"/>
  <c r="F35" i="3" s="1"/>
  <c r="G55" i="3"/>
  <c r="D35" i="3"/>
  <c r="F16" i="3"/>
  <c r="D68" i="3"/>
  <c r="E67" i="3" s="1"/>
  <c r="E68" i="3" s="1"/>
  <c r="D36" i="2"/>
  <c r="G59" i="2"/>
  <c r="F59" i="2"/>
  <c r="E59" i="2"/>
  <c r="D59" i="2"/>
  <c r="D24" i="2"/>
  <c r="F67" i="3" l="1"/>
  <c r="F68" i="3" s="1"/>
  <c r="E45" i="3"/>
  <c r="D25" i="4"/>
  <c r="G18" i="4"/>
  <c r="G17" i="4" s="1"/>
  <c r="G41" i="4" s="1"/>
  <c r="F18" i="4"/>
  <c r="E18" i="4"/>
  <c r="E17" i="4" s="1"/>
  <c r="E41" i="4" s="1"/>
  <c r="D18" i="4"/>
  <c r="D17" i="4" s="1"/>
  <c r="D41" i="4" s="1"/>
  <c r="G52" i="3"/>
  <c r="G57" i="3" s="1"/>
  <c r="F52" i="3"/>
  <c r="F57" i="3" s="1"/>
  <c r="E52" i="3"/>
  <c r="E57" i="3" s="1"/>
  <c r="D52" i="3"/>
  <c r="D57" i="3" s="1"/>
  <c r="C52" i="3"/>
  <c r="C57" i="3" s="1"/>
  <c r="G50" i="3"/>
  <c r="F50" i="3"/>
  <c r="E50" i="3"/>
  <c r="D50" i="3"/>
  <c r="C50" i="3"/>
  <c r="A36" i="3"/>
  <c r="A41" i="3" s="1"/>
  <c r="A35" i="3"/>
  <c r="A40" i="3" s="1"/>
  <c r="A17" i="3"/>
  <c r="A16" i="3"/>
  <c r="D14" i="3"/>
  <c r="E14" i="3" s="1"/>
  <c r="F14" i="3" s="1"/>
  <c r="G83" i="2"/>
  <c r="F83" i="2"/>
  <c r="E83" i="2"/>
  <c r="D83" i="2"/>
  <c r="G54" i="2"/>
  <c r="F54" i="2"/>
  <c r="E54" i="2"/>
  <c r="E86" i="2" s="1"/>
  <c r="D54" i="2"/>
  <c r="D86" i="2" s="1"/>
  <c r="D87" i="2" s="1"/>
  <c r="E43" i="2"/>
  <c r="D43" i="2"/>
  <c r="E29" i="2"/>
  <c r="E27" i="2" s="1"/>
  <c r="G29" i="2"/>
  <c r="F29" i="2"/>
  <c r="F27" i="2" s="1"/>
  <c r="E21" i="3" s="1"/>
  <c r="E20" i="3" s="1"/>
  <c r="G23" i="2"/>
  <c r="F23" i="2"/>
  <c r="D23" i="2"/>
  <c r="D21" i="2" s="1"/>
  <c r="E23" i="2"/>
  <c r="F50" i="2" l="1"/>
  <c r="E28" i="3"/>
  <c r="E39" i="3"/>
  <c r="G68" i="3"/>
  <c r="F45" i="3"/>
  <c r="E28" i="2"/>
  <c r="D21" i="3"/>
  <c r="D20" i="3" s="1"/>
  <c r="D29" i="2"/>
  <c r="D27" i="2" s="1"/>
  <c r="F17" i="4"/>
  <c r="F41" i="4" s="1"/>
  <c r="G26" i="2"/>
  <c r="G21" i="2" s="1"/>
  <c r="E21" i="2"/>
  <c r="F15" i="3"/>
  <c r="G27" i="2"/>
  <c r="F21" i="3" s="1"/>
  <c r="F20" i="3" s="1"/>
  <c r="F28" i="2"/>
  <c r="F21" i="2"/>
  <c r="F42" i="2" s="1"/>
  <c r="H17" i="4"/>
  <c r="H41" i="4" s="1"/>
  <c r="F48" i="2" l="1"/>
  <c r="F86" i="2" s="1"/>
  <c r="F90" i="2"/>
  <c r="F28" i="3"/>
  <c r="F39" i="3"/>
  <c r="G50" i="2"/>
  <c r="F25" i="3"/>
  <c r="D34" i="3"/>
  <c r="G20" i="3"/>
  <c r="D15" i="3"/>
  <c r="D25" i="3" s="1"/>
  <c r="C15" i="3"/>
  <c r="C25" i="3" s="1"/>
  <c r="E15" i="3"/>
  <c r="E25" i="3" s="1"/>
  <c r="D51" i="2"/>
  <c r="D53" i="2" s="1"/>
  <c r="D28" i="2"/>
  <c r="G85" i="2"/>
  <c r="G42" i="2"/>
  <c r="F85" i="2"/>
  <c r="E87" i="2"/>
  <c r="E42" i="2"/>
  <c r="E51" i="2" s="1"/>
  <c r="E53" i="2" s="1"/>
  <c r="C34" i="3"/>
  <c r="G28" i="2"/>
  <c r="G15" i="3"/>
  <c r="F43" i="2" l="1"/>
  <c r="F51" i="2" s="1"/>
  <c r="E27" i="3"/>
  <c r="G48" i="2"/>
  <c r="F27" i="3" s="1"/>
  <c r="G90" i="2"/>
  <c r="D46" i="3"/>
  <c r="C46" i="3"/>
  <c r="C58" i="3" s="1"/>
  <c r="C31" i="3"/>
  <c r="G31" i="3" s="1"/>
  <c r="D30" i="3"/>
  <c r="D31" i="3" s="1"/>
  <c r="E34" i="3"/>
  <c r="G43" i="2" l="1"/>
  <c r="G51" i="2" s="1"/>
  <c r="G53" i="2" s="1"/>
  <c r="D58" i="3"/>
  <c r="D64" i="3" s="1"/>
  <c r="F29" i="3"/>
  <c r="F30" i="3" s="1"/>
  <c r="F31" i="3" s="1"/>
  <c r="G86" i="2"/>
  <c r="G87" i="2" s="1"/>
  <c r="E29" i="3"/>
  <c r="F87" i="2"/>
  <c r="F53" i="2"/>
  <c r="C64" i="3"/>
  <c r="D66" i="3" s="1"/>
  <c r="E46" i="3"/>
  <c r="G39" i="3"/>
  <c r="F34" i="3"/>
  <c r="F46" i="3" s="1"/>
  <c r="F58" i="3" s="1"/>
  <c r="G34" i="3"/>
  <c r="G46" i="3" l="1"/>
  <c r="G58" i="3" s="1"/>
  <c r="G64" i="3" s="1"/>
  <c r="E58" i="3"/>
  <c r="E64" i="3" s="1"/>
  <c r="E66" i="3"/>
  <c r="E30" i="3"/>
  <c r="E31" i="3" s="1"/>
  <c r="F64" i="3"/>
  <c r="F66" i="3" l="1"/>
  <c r="G66" i="3" l="1"/>
</calcChain>
</file>

<file path=xl/sharedStrings.xml><?xml version="1.0" encoding="utf-8"?>
<sst xmlns="http://schemas.openxmlformats.org/spreadsheetml/2006/main" count="272" uniqueCount="207">
  <si>
    <t>Приложение  № 4.1</t>
  </si>
  <si>
    <t>к приказу Минэнерго России</t>
  </si>
  <si>
    <t>от «24» марта 2010 г. №114</t>
  </si>
  <si>
    <t>Финансовый план на период реализации инвестиционной программы
(заполняется по финансированию)</t>
  </si>
  <si>
    <t>Утверждаю</t>
  </si>
  <si>
    <t>Директор МУП "Электросеть</t>
  </si>
  <si>
    <t>_______________С.П. Бречалов</t>
  </si>
  <si>
    <t>(подпись)</t>
  </si>
  <si>
    <t>М.П.</t>
  </si>
  <si>
    <t>млн. рублей</t>
  </si>
  <si>
    <t>№ п/п</t>
  </si>
  <si>
    <t>Показатели</t>
  </si>
  <si>
    <t xml:space="preserve">   Всего</t>
  </si>
  <si>
    <t>I.</t>
  </si>
  <si>
    <t>Выручка от реализации товаров (работ, услуг),   всего</t>
  </si>
  <si>
    <t>в том числе:</t>
  </si>
  <si>
    <t>1.1.</t>
  </si>
  <si>
    <t>Выручка от основной деятельности 
(расшифроваь по видам регулируемой деятельности)</t>
  </si>
  <si>
    <t>в т.ч. услуги по передаче</t>
  </si>
  <si>
    <t>ТП до 15 кВ</t>
  </si>
  <si>
    <t>1.2.</t>
  </si>
  <si>
    <t xml:space="preserve">Выручка от прочей деятельности </t>
  </si>
  <si>
    <t>II.</t>
  </si>
  <si>
    <t>Расходы по текущей деятельности, всего</t>
  </si>
  <si>
    <t>1.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</si>
  <si>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</si>
  <si>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</si>
  <si>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</si>
  <si>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</si>
  <si>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</si>
  <si>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2.</t>
  </si>
  <si>
    <t>Расходы на оплату труда с учетом ЕСН</t>
  </si>
  <si>
    <t>3.</t>
  </si>
  <si>
    <t>Амортизационные отчисления</t>
  </si>
  <si>
    <t>4.</t>
  </si>
  <si>
    <t>Налоги  и сборы, всего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</si>
  <si>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</si>
  <si>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</si>
  <si>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</si>
  <si>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</si>
  <si>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</si>
  <si>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</si>
  <si>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</si>
  <si>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 (ФСК ЕЭС)</t>
  </si>
  <si>
    <t>III.</t>
  </si>
  <si>
    <t>Валовая прибыль (I р.-II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</si>
  <si>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</si>
  <si>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</si>
  <si>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</si>
  <si>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</si>
  <si>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</si>
  <si>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</si>
  <si>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</si>
  <si>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</si>
  <si>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</si>
  <si>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</si>
  <si>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</si>
  <si>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</si>
  <si>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</si>
  <si>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</si>
  <si>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</si>
  <si>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</si>
  <si>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</si>
  <si>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</si>
  <si>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</si>
  <si>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</si>
  <si>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 (ТП до 15 кВ строительная часть)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</si>
  <si>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</si>
  <si>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</si>
  <si>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</si>
  <si>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</si>
  <si>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</si>
  <si>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</si>
  <si>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</si>
  <si>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</si>
  <si>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</si>
  <si>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</si>
  <si>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</si>
  <si>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</si>
  <si>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</si>
  <si>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ДПМ*</t>
  </si>
  <si>
    <t>Прочие цели (расшифровка)</t>
  </si>
  <si>
    <t>XII.</t>
  </si>
  <si>
    <t xml:space="preserve">Погашение заемных средств  </t>
  </si>
  <si>
    <t>в том числе по:</t>
  </si>
  <si>
    <t>Инвестиционной программе</t>
  </si>
  <si>
    <t>XIII.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</si>
  <si>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</si>
  <si>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XIV.</t>
  </si>
  <si>
    <t>Купля/продажа активов</t>
  </si>
  <si>
    <t>Покупка активов (акций, долей и т.п.)</t>
  </si>
  <si>
    <t>Продажа активов (акций, долей и т.п.)</t>
  </si>
  <si>
    <t>XV.</t>
  </si>
  <si>
    <t>Средства, полученные от допэмиссии акций</t>
  </si>
  <si>
    <t>XVI.</t>
  </si>
  <si>
    <t>Капитальные вложения</t>
  </si>
  <si>
    <t xml:space="preserve">Всего поступления 
( I р.+ 1п. IV р. + 2 п. IX р. + 1 п. X р. +  XI р. + XIII р. + 2п.XIV р. + XV р.)                             </t>
  </si>
  <si>
    <t>XVII.</t>
  </si>
  <si>
    <t>Всего расходы 
(II р. - 3п. II р. + 2п. IV р. + 1 п. IX р. + 2 п. X р. + VI р. + VIII р. +  XII р. + 1 п. XIV р.+ XVI р.)</t>
  </si>
  <si>
    <t>Сальдо  (+профицит; - дефицит) 
(XVI р. - XVII р.)</t>
  </si>
  <si>
    <t>Справочно:</t>
  </si>
  <si>
    <t>EBITDA</t>
  </si>
  <si>
    <t>Долг на конец периода</t>
  </si>
  <si>
    <t>Прогноз тарифов</t>
  </si>
  <si>
    <t>*заполняется ОГК/ТГК</t>
  </si>
  <si>
    <t>Приложение  № 4.3</t>
  </si>
  <si>
    <t>от «24»марта 2010 г. № 114</t>
  </si>
  <si>
    <t>Директор МУП "Электросеть"</t>
  </si>
  <si>
    <t>_____________С.П. Бречалов</t>
  </si>
  <si>
    <t>«___»________ 20__ года</t>
  </si>
  <si>
    <t>Итого</t>
  </si>
  <si>
    <t>Выручка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</si>
  <si>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</si>
  <si>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</si>
  <si>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</si>
  <si>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</si>
  <si>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</si>
  <si>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</si>
  <si>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</si>
  <si>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</si>
  <si>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</si>
  <si>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</si>
  <si>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</si>
  <si>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</si>
  <si>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</si>
  <si>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</si>
  <si>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</si>
  <si>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</si>
  <si>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</si>
  <si>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</si>
  <si>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</si>
  <si>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</si>
  <si>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</si>
  <si>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</si>
  <si>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</si>
  <si>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</si>
  <si>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</si>
  <si>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</si>
  <si>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</si>
  <si>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 xml:space="preserve">Увеличение капитализации 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</si>
  <si>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</si>
  <si>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</si>
  <si>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</si>
  <si>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</si>
  <si>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</si>
  <si>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</si>
  <si>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Приложение  № 4.2</t>
  </si>
  <si>
    <t>Источники финансирования инвестиционных программ 
(в прогнозных ценах соответствующих лет), млн. рублей</t>
  </si>
  <si>
    <t>№№</t>
  </si>
  <si>
    <t>Источник финансирования</t>
  </si>
  <si>
    <t>План 2016</t>
  </si>
  <si>
    <t>План 2017</t>
  </si>
  <si>
    <t>План 2018</t>
  </si>
  <si>
    <t>План 2019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</si>
  <si>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</si>
  <si>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</si>
  <si>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</si>
  <si>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</si>
  <si>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</si>
  <si>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</si>
  <si>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</si>
  <si>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</si>
  <si>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</si>
  <si>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</si>
  <si>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</si>
  <si>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</si>
  <si>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</si>
  <si>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 (выпадающие доходы)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</si>
  <si>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</si>
  <si>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</si>
  <si>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</si>
  <si>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</si>
  <si>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</si>
  <si>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</si>
  <si>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</si>
  <si>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</si>
  <si>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1.4.</t>
  </si>
  <si>
    <t>Прочие собственные средства</t>
  </si>
  <si>
    <t xml:space="preserve">1.4.1. </t>
  </si>
  <si>
    <t>в т.ч. средства допэмиссии</t>
  </si>
  <si>
    <t>1.5.</t>
  </si>
  <si>
    <t>Остаток собственных средств на начало года</t>
  </si>
  <si>
    <t>Привлеченные средства, в т.ч.: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</si>
  <si>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</si>
  <si>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</si>
  <si>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</si>
  <si>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</si>
  <si>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</si>
  <si>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</si>
  <si>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</si>
  <si>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</si>
  <si>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</si>
  <si>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</si>
  <si>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</si>
  <si>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</si>
  <si>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</si>
  <si>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</si>
  <si>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</si>
  <si>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</si>
  <si>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</si>
  <si>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 план, в соответствии с утвержденной инвестиционной программой,  указать кем и когда утверждена инвестиционная программа</t>
  </si>
  <si>
    <t>** - для сетевых компаний, переодящих на метод тарифного регулирования RAB, горизонт планирования может быть больше</t>
  </si>
  <si>
    <t>«___»________ 2016 года</t>
  </si>
  <si>
    <t>«___»___________ 2016 года</t>
  </si>
  <si>
    <t>Внереализационные доходы</t>
  </si>
  <si>
    <t>Финансовая модель 
(в разрезе каждого юридического лица группы/по конечным видам выпускаемой продукции) 
по годам до 2019 года включительно</t>
  </si>
  <si>
    <t>План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</si>
</sst>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 CYR"/>
    </font>
    <font>
      <sz val="12"/>
      <name val="Times New Roman CYR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1" fillId="0" borderId="7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4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" fontId="2" fillId="0" borderId="1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" fontId="1" fillId="0" borderId="5" xfId="1" applyNumberFormat="1" applyFont="1" applyBorder="1" applyAlignment="1">
      <alignment horizontal="center" vertical="center"/>
    </xf>
    <xf numFmtId="4" fontId="1" fillId="0" borderId="6" xfId="1" applyNumberFormat="1" applyFont="1" applyBorder="1" applyAlignment="1">
      <alignment horizontal="center" vertical="center"/>
    </xf>
    <xf numFmtId="4" fontId="1" fillId="0" borderId="11" xfId="1" applyNumberFormat="1" applyFont="1" applyBorder="1" applyAlignment="1">
      <alignment horizontal="center" vertical="center"/>
    </xf>
    <xf numFmtId="4" fontId="1" fillId="0" borderId="12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" fontId="2" fillId="0" borderId="19" xfId="1" applyNumberFormat="1" applyFont="1" applyBorder="1" applyAlignment="1">
      <alignment horizontal="center" vertical="center"/>
    </xf>
    <xf numFmtId="16" fontId="1" fillId="0" borderId="4" xfId="1" applyNumberFormat="1" applyFont="1" applyBorder="1" applyAlignment="1">
      <alignment horizontal="center" vertical="center"/>
    </xf>
    <xf numFmtId="0" fontId="7" fillId="0" borderId="5" xfId="1" applyFont="1" applyBorder="1"/>
    <xf numFmtId="0" fontId="1" fillId="0" borderId="0" xfId="1" applyFont="1" applyAlignment="1">
      <alignment vertical="center"/>
    </xf>
    <xf numFmtId="4" fontId="1" fillId="0" borderId="2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" fontId="1" fillId="0" borderId="19" xfId="1" applyNumberFormat="1" applyFont="1" applyBorder="1" applyAlignment="1">
      <alignment horizontal="center" vertical="center"/>
    </xf>
    <xf numFmtId="4" fontId="1" fillId="0" borderId="1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3" xfId="1" applyFont="1" applyBorder="1" applyAlignment="1">
      <alignment horizontal="justify" vertical="center" wrapText="1"/>
    </xf>
    <xf numFmtId="0" fontId="2" fillId="0" borderId="24" xfId="1" applyFont="1" applyBorder="1" applyAlignment="1">
      <alignment horizontal="justify" vertical="center" wrapText="1"/>
    </xf>
    <xf numFmtId="0" fontId="2" fillId="0" borderId="10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2" fontId="3" fillId="0" borderId="0" xfId="1" applyNumberFormat="1" applyFont="1" applyAlignment="1">
      <alignment horizontal="right" vertical="top" wrapText="1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/>
    <xf numFmtId="165" fontId="8" fillId="0" borderId="5" xfId="1" applyNumberFormat="1" applyFont="1" applyBorder="1" applyAlignment="1">
      <alignment horizontal="center" vertical="center"/>
    </xf>
    <xf numFmtId="0" fontId="2" fillId="0" borderId="0" xfId="1" applyFont="1"/>
    <xf numFmtId="0" fontId="7" fillId="0" borderId="5" xfId="1" applyFont="1" applyBorder="1" applyAlignment="1">
      <alignment horizontal="left" indent="3"/>
    </xf>
    <xf numFmtId="165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indent="1"/>
    </xf>
    <xf numFmtId="9" fontId="1" fillId="0" borderId="0" xfId="2" applyFont="1"/>
    <xf numFmtId="165" fontId="7" fillId="0" borderId="5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left" indent="2"/>
    </xf>
    <xf numFmtId="0" fontId="1" fillId="0" borderId="0" xfId="1" applyFont="1" applyAlignment="1">
      <alignment horizontal="left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left" vertical="center" wrapText="1"/>
    </xf>
    <xf numFmtId="0" fontId="1" fillId="0" borderId="30" xfId="1" applyFont="1" applyFill="1" applyBorder="1" applyAlignment="1">
      <alignment horizontal="center" vertical="center"/>
    </xf>
    <xf numFmtId="0" fontId="1" fillId="0" borderId="5" xfId="1" applyFont="1" applyFill="1" applyBorder="1"/>
    <xf numFmtId="4" fontId="1" fillId="0" borderId="5" xfId="1" applyNumberFormat="1" applyFont="1" applyFill="1" applyBorder="1"/>
    <xf numFmtId="0" fontId="1" fillId="0" borderId="30" xfId="1" applyNumberFormat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left" vertical="center" wrapText="1"/>
    </xf>
    <xf numFmtId="0" fontId="1" fillId="0" borderId="8" xfId="1" applyFont="1" applyFill="1" applyBorder="1"/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/>
    <xf numFmtId="0" fontId="1" fillId="0" borderId="4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/>
    <xf numFmtId="0" fontId="1" fillId="0" borderId="5" xfId="1" applyFont="1" applyFill="1" applyBorder="1" applyAlignment="1">
      <alignment horizontal="right" vertical="center" wrapText="1"/>
    </xf>
    <xf numFmtId="0" fontId="1" fillId="0" borderId="10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right" vertical="center" wrapText="1"/>
    </xf>
    <xf numFmtId="0" fontId="1" fillId="0" borderId="11" xfId="1" applyFont="1" applyFill="1" applyBorder="1"/>
    <xf numFmtId="0" fontId="1" fillId="0" borderId="12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 vertical="center" wrapText="1" indent="4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left" vertical="top"/>
    </xf>
    <xf numFmtId="2" fontId="1" fillId="0" borderId="0" xfId="1" applyNumberFormat="1" applyFont="1" applyAlignment="1">
      <alignment vertical="top"/>
    </xf>
    <xf numFmtId="49" fontId="1" fillId="0" borderId="0" xfId="1" applyNumberFormat="1" applyFont="1" applyAlignment="1">
      <alignment horizontal="left" vertical="top" wrapText="1"/>
    </xf>
    <xf numFmtId="2" fontId="1" fillId="0" borderId="0" xfId="1" applyNumberFormat="1" applyFont="1" applyAlignment="1">
      <alignment horizontal="center" vertical="top" wrapText="1"/>
    </xf>
    <xf numFmtId="0" fontId="1" fillId="0" borderId="0" xfId="1" applyFont="1" applyFill="1"/>
    <xf numFmtId="0" fontId="1" fillId="0" borderId="9" xfId="1" applyFont="1" applyFill="1" applyBorder="1"/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2" xfId="1" applyFont="1" applyBorder="1" applyAlignment="1">
      <alignment horizontal="justify" vertical="center" wrapText="1"/>
    </xf>
    <xf numFmtId="0" fontId="1" fillId="0" borderId="35" xfId="1" applyFont="1" applyBorder="1" applyAlignment="1">
      <alignment horizontal="left" vertical="center" wrapText="1" indent="2"/>
    </xf>
    <xf numFmtId="0" fontId="1" fillId="0" borderId="36" xfId="1" applyFont="1" applyBorder="1" applyAlignment="1">
      <alignment horizontal="justify" vertical="center" wrapText="1"/>
    </xf>
    <xf numFmtId="0" fontId="2" fillId="0" borderId="37" xfId="1" applyFont="1" applyBorder="1" applyAlignment="1">
      <alignment horizontal="justify" vertical="center" wrapText="1"/>
    </xf>
    <xf numFmtId="0" fontId="2" fillId="0" borderId="32" xfId="1" applyFont="1" applyBorder="1" applyAlignment="1">
      <alignment horizontal="justify" vertical="center" wrapText="1"/>
    </xf>
    <xf numFmtId="0" fontId="2" fillId="0" borderId="38" xfId="1" applyFont="1" applyBorder="1" applyAlignment="1">
      <alignment horizontal="justify" vertical="center" wrapText="1"/>
    </xf>
    <xf numFmtId="0" fontId="1" fillId="0" borderId="32" xfId="1" applyFont="1" applyBorder="1" applyAlignment="1">
      <alignment horizontal="justify" vertical="center"/>
    </xf>
    <xf numFmtId="0" fontId="7" fillId="0" borderId="32" xfId="1" applyFont="1" applyBorder="1"/>
    <xf numFmtId="0" fontId="2" fillId="0" borderId="39" xfId="1" applyFont="1" applyBorder="1" applyAlignment="1">
      <alignment horizontal="justify" vertical="center" wrapText="1"/>
    </xf>
    <xf numFmtId="0" fontId="1" fillId="0" borderId="35" xfId="1" applyFont="1" applyBorder="1" applyAlignment="1">
      <alignment horizontal="justify" vertical="center" wrapText="1"/>
    </xf>
    <xf numFmtId="0" fontId="2" fillId="0" borderId="36" xfId="1" applyFont="1" applyBorder="1" applyAlignment="1">
      <alignment horizontal="justify" vertical="center" wrapText="1"/>
    </xf>
    <xf numFmtId="4" fontId="2" fillId="0" borderId="40" xfId="1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4" fontId="9" fillId="0" borderId="12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19" xfId="1" applyNumberFormat="1" applyFont="1" applyBorder="1" applyAlignment="1">
      <alignment horizontal="center" vertical="center"/>
    </xf>
    <xf numFmtId="4" fontId="9" fillId="0" borderId="17" xfId="1" applyNumberFormat="1" applyFont="1" applyBorder="1" applyAlignment="1">
      <alignment horizontal="center" vertical="center"/>
    </xf>
    <xf numFmtId="4" fontId="9" fillId="0" borderId="21" xfId="1" applyNumberFormat="1" applyFont="1" applyBorder="1" applyAlignment="1">
      <alignment horizontal="center" vertical="center"/>
    </xf>
    <xf numFmtId="4" fontId="9" fillId="0" borderId="2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4" fontId="1" fillId="0" borderId="0" xfId="1" applyNumberFormat="1" applyAlignment="1">
      <alignment vertical="center"/>
    </xf>
    <xf numFmtId="4" fontId="9" fillId="0" borderId="0" xfId="1" applyNumberFormat="1" applyFont="1"/>
    <xf numFmtId="0" fontId="1" fillId="0" borderId="5" xfId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wrapText="1"/>
    </xf>
    <xf numFmtId="165" fontId="1" fillId="0" borderId="5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wrapText="1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 wrapText="1"/>
    </xf>
    <xf numFmtId="165" fontId="1" fillId="0" borderId="0" xfId="1" applyNumberFormat="1" applyFont="1"/>
    <xf numFmtId="0" fontId="2" fillId="0" borderId="0" xfId="1" applyFont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4" fontId="1" fillId="0" borderId="22" xfId="1" applyNumberFormat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center" vertical="center"/>
    </xf>
    <xf numFmtId="4" fontId="2" fillId="0" borderId="21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2" fontId="3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Font="1" applyBorder="1" applyAlignment="1">
      <alignment horizontal="left" wrapText="1"/>
    </xf>
    <xf numFmtId="4" fontId="6" fillId="0" borderId="14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/>
    <xf numFmtId="4" fontId="1" fillId="0" borderId="4" xfId="1" applyNumberFormat="1" applyFont="1" applyFill="1" applyBorder="1"/>
    <xf numFmtId="0" fontId="1" fillId="0" borderId="7" xfId="1" applyFont="1" applyFill="1" applyBorder="1"/>
    <xf numFmtId="4" fontId="1" fillId="0" borderId="6" xfId="1" applyNumberFormat="1" applyFont="1" applyFill="1" applyBorder="1"/>
  </cellXfs>
  <cellStyles count="3">
    <cellStyle name="Обычный" xfId="0" builtinId="0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54;&#1041;&#1052;&#1045;&#1053;&#1053;&#1048;&#1050;%20&#1060;&#1040;&#1049;&#1051;&#1040;&#1052;&#1048;\&#1055;&#1069;&#1054;\&#1048;&#1085;&#1074;&#1077;&#1089;&#1090;%20&#1087;&#1088;&#1086;&#1075;&#1088;&#1072;&#1084;&#1084;&#1072;%202015-2019%2030.09.2015&#1048;&#1047;&#1052;%2025.09__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k/&#1041;&#1086;&#1088;&#1080;&#1089;&#1086;&#1074;/&#1056;&#1040;&#1041;&#1054;&#1058;&#1040;/2015/&#1073;&#1080;&#1079;&#1085;&#1077;&#1089;%20&#1087;&#1083;&#1072;&#1085;&#1099;%20&#1048;&#1055;%202015-2019/&#1048;&#1085;&#1074;&#1077;&#1089;&#1090;%20&#1087;&#1088;&#1086;&#1075;&#1088;&#1072;&#1084;&#1084;&#1072;%202015-2019%2030.09.2015&#1048;&#1047;&#1052;%2025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1 утв"/>
      <sheetName val="приложение 1.2."/>
      <sheetName val="приложение 1.3"/>
      <sheetName val="Приложение 1.4 2015 "/>
      <sheetName val="приложение 2.2 без НДС"/>
      <sheetName val="приложение 3.1.22"/>
      <sheetName val="приложение 3.1.21"/>
      <sheetName val="приложение 3.1.20"/>
      <sheetName val="приложение 3.1.19"/>
      <sheetName val="приложение 3.1.18"/>
      <sheetName val="приложение 3.1.17"/>
      <sheetName val="приложение 3.1.13"/>
      <sheetName val="приложение 3.1.12"/>
      <sheetName val="приложение 3.1.11"/>
      <sheetName val="приложение 3.1.10"/>
      <sheetName val="приложение 3.1.9"/>
      <sheetName val="приложение 3.1.8"/>
      <sheetName val="приложение 3.1.7"/>
      <sheetName val="приложение 3.1.5"/>
      <sheetName val="приложение 3.1.4"/>
      <sheetName val="приложение 3.1.3"/>
      <sheetName val="приложение 3.1.2"/>
      <sheetName val="приложение 3.1.1"/>
      <sheetName val="приложение 3.2.22"/>
      <sheetName val="приложение 3.2.21"/>
      <sheetName val="приложение 3.2.20"/>
      <sheetName val="приложение 3.2.19"/>
      <sheetName val="приложение 3.2.18"/>
      <sheetName val="приложение 3.2.17"/>
      <sheetName val="приложение 3.2.16"/>
      <sheetName val="приложение 3.2.15"/>
      <sheetName val="приложение 3.2.14"/>
      <sheetName val="приложение 3.2.13"/>
      <sheetName val="приложение 3.2.12"/>
      <sheetName val="приложение 3.2.11"/>
      <sheetName val="приложение 3.2.10"/>
      <sheetName val="приложение 3.2.9"/>
      <sheetName val="приложение 3.2.8"/>
      <sheetName val="приложение 3.2.7"/>
      <sheetName val="приложение 3.2.6"/>
      <sheetName val="приложение 3.2.5"/>
      <sheetName val="приложение 3.2.4"/>
      <sheetName val="приложение 3.2.3"/>
      <sheetName val="приложение 3.2.2"/>
      <sheetName val="приложение 3.2.1"/>
      <sheetName val="приложение 4.1 (3)"/>
      <sheetName val="приложение 4.3 (3)"/>
      <sheetName val="приложение 4.2 (3)"/>
      <sheetName val="приложение 5 (2)"/>
      <sheetName val="приложение 6.1"/>
      <sheetName val="приложение 6.2"/>
      <sheetName val="приложение 6.3"/>
      <sheetName val="приложение 7.1"/>
      <sheetName val="приложение 7.2"/>
      <sheetName val="приложение 8"/>
      <sheetName val="приложение 9"/>
      <sheetName val="приложение 10"/>
      <sheetName val="приложение 11.1"/>
      <sheetName val="приложение 11.2"/>
      <sheetName val="приложение 12"/>
      <sheetName val="приложение 13"/>
      <sheetName val="приложение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4">
          <cell r="B24" t="str">
            <v>в т.ч. услуги по передаче</v>
          </cell>
        </row>
        <row r="25">
          <cell r="B25" t="str">
            <v>ТП до 15 кВ</v>
          </cell>
        </row>
        <row r="35">
          <cell r="D35">
            <v>153.92099999999999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1 утв"/>
      <sheetName val="приложение 1.2."/>
      <sheetName val="приложение 1.3"/>
      <sheetName val="приложение 2.2 без НДС"/>
      <sheetName val="приложение 3.1.19"/>
      <sheetName val="приложение 3.1.18"/>
      <sheetName val="приложение 3.1.17"/>
      <sheetName val="приложение 3.1.16"/>
      <sheetName val="приложение 3.1.15"/>
      <sheetName val="приложение 3.1.14"/>
      <sheetName val="приложение 3.1.13"/>
      <sheetName val="приложение 3.1.12"/>
      <sheetName val="приложение 3.1.11"/>
      <sheetName val="приложение 3.1.10"/>
      <sheetName val="приложение 3.1.9"/>
      <sheetName val="приложение 3.1.8"/>
      <sheetName val="приложение 3.1.7"/>
      <sheetName val="приложение 3.1.6"/>
      <sheetName val="приложение 3.1.5"/>
      <sheetName val="приложение 3.1.4"/>
      <sheetName val="приложение 3.1.3"/>
      <sheetName val="приложение 3.1.2"/>
      <sheetName val="приложение 3.1.1"/>
      <sheetName val="приложение 3.2.19"/>
      <sheetName val="приложение 3.2.18"/>
      <sheetName val="приложение 3.2.17"/>
      <sheetName val="приложение 3.2.16"/>
      <sheetName val="приложение 3.2.15"/>
      <sheetName val="приложение 3.2.14"/>
      <sheetName val="приложение 3.2.13"/>
      <sheetName val="приложение 3.2.12"/>
      <sheetName val="приложение 3.2.11"/>
      <sheetName val="приложение 3.2.10"/>
      <sheetName val="приложение 3.2.9"/>
      <sheetName val="приложение 3.2.8"/>
      <sheetName val="приложение 3.2.7"/>
      <sheetName val="приложение 3.2.6"/>
      <sheetName val="приложение 3.2.5"/>
      <sheetName val="приложение 3.2.4"/>
      <sheetName val="приложение 3.2.3"/>
      <sheetName val="приложение 3.2.2"/>
      <sheetName val="приложение 3.2.1"/>
      <sheetName val="приложение 4.1 (2)"/>
      <sheetName val="приложение 4.3 (2)"/>
      <sheetName val="приложение 4.2 (2)"/>
      <sheetName val="приложение 5 (2)"/>
      <sheetName val="приложение 6.1"/>
      <sheetName val="приложение 6.2"/>
      <sheetName val="приложение 6.3"/>
      <sheetName val="приложение 7.1"/>
      <sheetName val="приложение 7.2"/>
      <sheetName val="приложение 8"/>
      <sheetName val="приложение 9"/>
      <sheetName val="приложение 10"/>
      <sheetName val="приложение 11.1"/>
      <sheetName val="приложение 11.2"/>
      <sheetName val="приложение 12"/>
      <sheetName val="приложение 13"/>
      <sheetName val="приложение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4">
          <cell r="C24">
            <v>483.28682900000001</v>
          </cell>
        </row>
        <row r="25">
          <cell r="C25">
            <v>16.238520999999999</v>
          </cell>
        </row>
        <row r="35">
          <cell r="C35">
            <v>129.04828000000001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7" zoomScale="70" zoomScaleNormal="70" workbookViewId="0">
      <pane xSplit="2" ySplit="13" topLeftCell="C41" activePane="bottomRight" state="frozen"/>
      <selection activeCell="A7" sqref="A7"/>
      <selection pane="topRight" activeCell="C7" sqref="C7"/>
      <selection pane="bottomLeft" activeCell="A20" sqref="A20"/>
      <selection pane="bottomRight" activeCell="D85" sqref="D85"/>
    </sheetView>
  </sheetViews>
  <sheetFormatPr defaultRowHeight="15.75" outlineLevelRow="1" x14ac:dyDescent="0.25"/>
  <cols>
    <col min="1" max="1" width="8" style="1" customWidth="1"/>
    <col min="2" max="2" width="59.140625" style="1" customWidth="1"/>
    <col min="3" max="3" width="14.140625" style="1" customWidth="1"/>
    <col min="4" max="5" width="14.5703125" style="115" customWidth="1"/>
    <col min="6" max="6" width="12" style="115" customWidth="1"/>
    <col min="7" max="7" width="13.28515625" style="115" customWidth="1"/>
    <col min="8" max="256" width="9.140625" style="3"/>
    <col min="257" max="257" width="8" style="3" customWidth="1"/>
    <col min="258" max="258" width="59.140625" style="3" customWidth="1"/>
    <col min="259" max="261" width="14.5703125" style="3" customWidth="1"/>
    <col min="262" max="262" width="11.7109375" style="3" customWidth="1"/>
    <col min="263" max="263" width="12.140625" style="3" customWidth="1"/>
    <col min="264" max="512" width="9.140625" style="3"/>
    <col min="513" max="513" width="8" style="3" customWidth="1"/>
    <col min="514" max="514" width="59.140625" style="3" customWidth="1"/>
    <col min="515" max="517" width="14.5703125" style="3" customWidth="1"/>
    <col min="518" max="518" width="11.7109375" style="3" customWidth="1"/>
    <col min="519" max="519" width="12.140625" style="3" customWidth="1"/>
    <col min="520" max="768" width="9.140625" style="3"/>
    <col min="769" max="769" width="8" style="3" customWidth="1"/>
    <col min="770" max="770" width="59.140625" style="3" customWidth="1"/>
    <col min="771" max="773" width="14.5703125" style="3" customWidth="1"/>
    <col min="774" max="774" width="11.7109375" style="3" customWidth="1"/>
    <col min="775" max="775" width="12.140625" style="3" customWidth="1"/>
    <col min="776" max="1024" width="9.140625" style="3"/>
    <col min="1025" max="1025" width="8" style="3" customWidth="1"/>
    <col min="1026" max="1026" width="59.140625" style="3" customWidth="1"/>
    <col min="1027" max="1029" width="14.5703125" style="3" customWidth="1"/>
    <col min="1030" max="1030" width="11.7109375" style="3" customWidth="1"/>
    <col min="1031" max="1031" width="12.140625" style="3" customWidth="1"/>
    <col min="1032" max="1280" width="9.140625" style="3"/>
    <col min="1281" max="1281" width="8" style="3" customWidth="1"/>
    <col min="1282" max="1282" width="59.140625" style="3" customWidth="1"/>
    <col min="1283" max="1285" width="14.5703125" style="3" customWidth="1"/>
    <col min="1286" max="1286" width="11.7109375" style="3" customWidth="1"/>
    <col min="1287" max="1287" width="12.140625" style="3" customWidth="1"/>
    <col min="1288" max="1536" width="9.140625" style="3"/>
    <col min="1537" max="1537" width="8" style="3" customWidth="1"/>
    <col min="1538" max="1538" width="59.140625" style="3" customWidth="1"/>
    <col min="1539" max="1541" width="14.5703125" style="3" customWidth="1"/>
    <col min="1542" max="1542" width="11.7109375" style="3" customWidth="1"/>
    <col min="1543" max="1543" width="12.140625" style="3" customWidth="1"/>
    <col min="1544" max="1792" width="9.140625" style="3"/>
    <col min="1793" max="1793" width="8" style="3" customWidth="1"/>
    <col min="1794" max="1794" width="59.140625" style="3" customWidth="1"/>
    <col min="1795" max="1797" width="14.5703125" style="3" customWidth="1"/>
    <col min="1798" max="1798" width="11.7109375" style="3" customWidth="1"/>
    <col min="1799" max="1799" width="12.140625" style="3" customWidth="1"/>
    <col min="1800" max="2048" width="9.140625" style="3"/>
    <col min="2049" max="2049" width="8" style="3" customWidth="1"/>
    <col min="2050" max="2050" width="59.140625" style="3" customWidth="1"/>
    <col min="2051" max="2053" width="14.5703125" style="3" customWidth="1"/>
    <col min="2054" max="2054" width="11.7109375" style="3" customWidth="1"/>
    <col min="2055" max="2055" width="12.140625" style="3" customWidth="1"/>
    <col min="2056" max="2304" width="9.140625" style="3"/>
    <col min="2305" max="2305" width="8" style="3" customWidth="1"/>
    <col min="2306" max="2306" width="59.140625" style="3" customWidth="1"/>
    <col min="2307" max="2309" width="14.5703125" style="3" customWidth="1"/>
    <col min="2310" max="2310" width="11.7109375" style="3" customWidth="1"/>
    <col min="2311" max="2311" width="12.140625" style="3" customWidth="1"/>
    <col min="2312" max="2560" width="9.140625" style="3"/>
    <col min="2561" max="2561" width="8" style="3" customWidth="1"/>
    <col min="2562" max="2562" width="59.140625" style="3" customWidth="1"/>
    <col min="2563" max="2565" width="14.5703125" style="3" customWidth="1"/>
    <col min="2566" max="2566" width="11.7109375" style="3" customWidth="1"/>
    <col min="2567" max="2567" width="12.140625" style="3" customWidth="1"/>
    <col min="2568" max="2816" width="9.140625" style="3"/>
    <col min="2817" max="2817" width="8" style="3" customWidth="1"/>
    <col min="2818" max="2818" width="59.140625" style="3" customWidth="1"/>
    <col min="2819" max="2821" width="14.5703125" style="3" customWidth="1"/>
    <col min="2822" max="2822" width="11.7109375" style="3" customWidth="1"/>
    <col min="2823" max="2823" width="12.140625" style="3" customWidth="1"/>
    <col min="2824" max="3072" width="9.140625" style="3"/>
    <col min="3073" max="3073" width="8" style="3" customWidth="1"/>
    <col min="3074" max="3074" width="59.140625" style="3" customWidth="1"/>
    <col min="3075" max="3077" width="14.5703125" style="3" customWidth="1"/>
    <col min="3078" max="3078" width="11.7109375" style="3" customWidth="1"/>
    <col min="3079" max="3079" width="12.140625" style="3" customWidth="1"/>
    <col min="3080" max="3328" width="9.140625" style="3"/>
    <col min="3329" max="3329" width="8" style="3" customWidth="1"/>
    <col min="3330" max="3330" width="59.140625" style="3" customWidth="1"/>
    <col min="3331" max="3333" width="14.5703125" style="3" customWidth="1"/>
    <col min="3334" max="3334" width="11.7109375" style="3" customWidth="1"/>
    <col min="3335" max="3335" width="12.140625" style="3" customWidth="1"/>
    <col min="3336" max="3584" width="9.140625" style="3"/>
    <col min="3585" max="3585" width="8" style="3" customWidth="1"/>
    <col min="3586" max="3586" width="59.140625" style="3" customWidth="1"/>
    <col min="3587" max="3589" width="14.5703125" style="3" customWidth="1"/>
    <col min="3590" max="3590" width="11.7109375" style="3" customWidth="1"/>
    <col min="3591" max="3591" width="12.140625" style="3" customWidth="1"/>
    <col min="3592" max="3840" width="9.140625" style="3"/>
    <col min="3841" max="3841" width="8" style="3" customWidth="1"/>
    <col min="3842" max="3842" width="59.140625" style="3" customWidth="1"/>
    <col min="3843" max="3845" width="14.5703125" style="3" customWidth="1"/>
    <col min="3846" max="3846" width="11.7109375" style="3" customWidth="1"/>
    <col min="3847" max="3847" width="12.140625" style="3" customWidth="1"/>
    <col min="3848" max="4096" width="9.140625" style="3"/>
    <col min="4097" max="4097" width="8" style="3" customWidth="1"/>
    <col min="4098" max="4098" width="59.140625" style="3" customWidth="1"/>
    <col min="4099" max="4101" width="14.5703125" style="3" customWidth="1"/>
    <col min="4102" max="4102" width="11.7109375" style="3" customWidth="1"/>
    <col min="4103" max="4103" width="12.140625" style="3" customWidth="1"/>
    <col min="4104" max="4352" width="9.140625" style="3"/>
    <col min="4353" max="4353" width="8" style="3" customWidth="1"/>
    <col min="4354" max="4354" width="59.140625" style="3" customWidth="1"/>
    <col min="4355" max="4357" width="14.5703125" style="3" customWidth="1"/>
    <col min="4358" max="4358" width="11.7109375" style="3" customWidth="1"/>
    <col min="4359" max="4359" width="12.140625" style="3" customWidth="1"/>
    <col min="4360" max="4608" width="9.140625" style="3"/>
    <col min="4609" max="4609" width="8" style="3" customWidth="1"/>
    <col min="4610" max="4610" width="59.140625" style="3" customWidth="1"/>
    <col min="4611" max="4613" width="14.5703125" style="3" customWidth="1"/>
    <col min="4614" max="4614" width="11.7109375" style="3" customWidth="1"/>
    <col min="4615" max="4615" width="12.140625" style="3" customWidth="1"/>
    <col min="4616" max="4864" width="9.140625" style="3"/>
    <col min="4865" max="4865" width="8" style="3" customWidth="1"/>
    <col min="4866" max="4866" width="59.140625" style="3" customWidth="1"/>
    <col min="4867" max="4869" width="14.5703125" style="3" customWidth="1"/>
    <col min="4870" max="4870" width="11.7109375" style="3" customWidth="1"/>
    <col min="4871" max="4871" width="12.140625" style="3" customWidth="1"/>
    <col min="4872" max="5120" width="9.140625" style="3"/>
    <col min="5121" max="5121" width="8" style="3" customWidth="1"/>
    <col min="5122" max="5122" width="59.140625" style="3" customWidth="1"/>
    <col min="5123" max="5125" width="14.5703125" style="3" customWidth="1"/>
    <col min="5126" max="5126" width="11.7109375" style="3" customWidth="1"/>
    <col min="5127" max="5127" width="12.140625" style="3" customWidth="1"/>
    <col min="5128" max="5376" width="9.140625" style="3"/>
    <col min="5377" max="5377" width="8" style="3" customWidth="1"/>
    <col min="5378" max="5378" width="59.140625" style="3" customWidth="1"/>
    <col min="5379" max="5381" width="14.5703125" style="3" customWidth="1"/>
    <col min="5382" max="5382" width="11.7109375" style="3" customWidth="1"/>
    <col min="5383" max="5383" width="12.140625" style="3" customWidth="1"/>
    <col min="5384" max="5632" width="9.140625" style="3"/>
    <col min="5633" max="5633" width="8" style="3" customWidth="1"/>
    <col min="5634" max="5634" width="59.140625" style="3" customWidth="1"/>
    <col min="5635" max="5637" width="14.5703125" style="3" customWidth="1"/>
    <col min="5638" max="5638" width="11.7109375" style="3" customWidth="1"/>
    <col min="5639" max="5639" width="12.140625" style="3" customWidth="1"/>
    <col min="5640" max="5888" width="9.140625" style="3"/>
    <col min="5889" max="5889" width="8" style="3" customWidth="1"/>
    <col min="5890" max="5890" width="59.140625" style="3" customWidth="1"/>
    <col min="5891" max="5893" width="14.5703125" style="3" customWidth="1"/>
    <col min="5894" max="5894" width="11.7109375" style="3" customWidth="1"/>
    <col min="5895" max="5895" width="12.140625" style="3" customWidth="1"/>
    <col min="5896" max="6144" width="9.140625" style="3"/>
    <col min="6145" max="6145" width="8" style="3" customWidth="1"/>
    <col min="6146" max="6146" width="59.140625" style="3" customWidth="1"/>
    <col min="6147" max="6149" width="14.5703125" style="3" customWidth="1"/>
    <col min="6150" max="6150" width="11.7109375" style="3" customWidth="1"/>
    <col min="6151" max="6151" width="12.140625" style="3" customWidth="1"/>
    <col min="6152" max="6400" width="9.140625" style="3"/>
    <col min="6401" max="6401" width="8" style="3" customWidth="1"/>
    <col min="6402" max="6402" width="59.140625" style="3" customWidth="1"/>
    <col min="6403" max="6405" width="14.5703125" style="3" customWidth="1"/>
    <col min="6406" max="6406" width="11.7109375" style="3" customWidth="1"/>
    <col min="6407" max="6407" width="12.140625" style="3" customWidth="1"/>
    <col min="6408" max="6656" width="9.140625" style="3"/>
    <col min="6657" max="6657" width="8" style="3" customWidth="1"/>
    <col min="6658" max="6658" width="59.140625" style="3" customWidth="1"/>
    <col min="6659" max="6661" width="14.5703125" style="3" customWidth="1"/>
    <col min="6662" max="6662" width="11.7109375" style="3" customWidth="1"/>
    <col min="6663" max="6663" width="12.140625" style="3" customWidth="1"/>
    <col min="6664" max="6912" width="9.140625" style="3"/>
    <col min="6913" max="6913" width="8" style="3" customWidth="1"/>
    <col min="6914" max="6914" width="59.140625" style="3" customWidth="1"/>
    <col min="6915" max="6917" width="14.5703125" style="3" customWidth="1"/>
    <col min="6918" max="6918" width="11.7109375" style="3" customWidth="1"/>
    <col min="6919" max="6919" width="12.140625" style="3" customWidth="1"/>
    <col min="6920" max="7168" width="9.140625" style="3"/>
    <col min="7169" max="7169" width="8" style="3" customWidth="1"/>
    <col min="7170" max="7170" width="59.140625" style="3" customWidth="1"/>
    <col min="7171" max="7173" width="14.5703125" style="3" customWidth="1"/>
    <col min="7174" max="7174" width="11.7109375" style="3" customWidth="1"/>
    <col min="7175" max="7175" width="12.140625" style="3" customWidth="1"/>
    <col min="7176" max="7424" width="9.140625" style="3"/>
    <col min="7425" max="7425" width="8" style="3" customWidth="1"/>
    <col min="7426" max="7426" width="59.140625" style="3" customWidth="1"/>
    <col min="7427" max="7429" width="14.5703125" style="3" customWidth="1"/>
    <col min="7430" max="7430" width="11.7109375" style="3" customWidth="1"/>
    <col min="7431" max="7431" width="12.140625" style="3" customWidth="1"/>
    <col min="7432" max="7680" width="9.140625" style="3"/>
    <col min="7681" max="7681" width="8" style="3" customWidth="1"/>
    <col min="7682" max="7682" width="59.140625" style="3" customWidth="1"/>
    <col min="7683" max="7685" width="14.5703125" style="3" customWidth="1"/>
    <col min="7686" max="7686" width="11.7109375" style="3" customWidth="1"/>
    <col min="7687" max="7687" width="12.140625" style="3" customWidth="1"/>
    <col min="7688" max="7936" width="9.140625" style="3"/>
    <col min="7937" max="7937" width="8" style="3" customWidth="1"/>
    <col min="7938" max="7938" width="59.140625" style="3" customWidth="1"/>
    <col min="7939" max="7941" width="14.5703125" style="3" customWidth="1"/>
    <col min="7942" max="7942" width="11.7109375" style="3" customWidth="1"/>
    <col min="7943" max="7943" width="12.140625" style="3" customWidth="1"/>
    <col min="7944" max="8192" width="9.140625" style="3"/>
    <col min="8193" max="8193" width="8" style="3" customWidth="1"/>
    <col min="8194" max="8194" width="59.140625" style="3" customWidth="1"/>
    <col min="8195" max="8197" width="14.5703125" style="3" customWidth="1"/>
    <col min="8198" max="8198" width="11.7109375" style="3" customWidth="1"/>
    <col min="8199" max="8199" width="12.140625" style="3" customWidth="1"/>
    <col min="8200" max="8448" width="9.140625" style="3"/>
    <col min="8449" max="8449" width="8" style="3" customWidth="1"/>
    <col min="8450" max="8450" width="59.140625" style="3" customWidth="1"/>
    <col min="8451" max="8453" width="14.5703125" style="3" customWidth="1"/>
    <col min="8454" max="8454" width="11.7109375" style="3" customWidth="1"/>
    <col min="8455" max="8455" width="12.140625" style="3" customWidth="1"/>
    <col min="8456" max="8704" width="9.140625" style="3"/>
    <col min="8705" max="8705" width="8" style="3" customWidth="1"/>
    <col min="8706" max="8706" width="59.140625" style="3" customWidth="1"/>
    <col min="8707" max="8709" width="14.5703125" style="3" customWidth="1"/>
    <col min="8710" max="8710" width="11.7109375" style="3" customWidth="1"/>
    <col min="8711" max="8711" width="12.140625" style="3" customWidth="1"/>
    <col min="8712" max="8960" width="9.140625" style="3"/>
    <col min="8961" max="8961" width="8" style="3" customWidth="1"/>
    <col min="8962" max="8962" width="59.140625" style="3" customWidth="1"/>
    <col min="8963" max="8965" width="14.5703125" style="3" customWidth="1"/>
    <col min="8966" max="8966" width="11.7109375" style="3" customWidth="1"/>
    <col min="8967" max="8967" width="12.140625" style="3" customWidth="1"/>
    <col min="8968" max="9216" width="9.140625" style="3"/>
    <col min="9217" max="9217" width="8" style="3" customWidth="1"/>
    <col min="9218" max="9218" width="59.140625" style="3" customWidth="1"/>
    <col min="9219" max="9221" width="14.5703125" style="3" customWidth="1"/>
    <col min="9222" max="9222" width="11.7109375" style="3" customWidth="1"/>
    <col min="9223" max="9223" width="12.140625" style="3" customWidth="1"/>
    <col min="9224" max="9472" width="9.140625" style="3"/>
    <col min="9473" max="9473" width="8" style="3" customWidth="1"/>
    <col min="9474" max="9474" width="59.140625" style="3" customWidth="1"/>
    <col min="9475" max="9477" width="14.5703125" style="3" customWidth="1"/>
    <col min="9478" max="9478" width="11.7109375" style="3" customWidth="1"/>
    <col min="9479" max="9479" width="12.140625" style="3" customWidth="1"/>
    <col min="9480" max="9728" width="9.140625" style="3"/>
    <col min="9729" max="9729" width="8" style="3" customWidth="1"/>
    <col min="9730" max="9730" width="59.140625" style="3" customWidth="1"/>
    <col min="9731" max="9733" width="14.5703125" style="3" customWidth="1"/>
    <col min="9734" max="9734" width="11.7109375" style="3" customWidth="1"/>
    <col min="9735" max="9735" width="12.140625" style="3" customWidth="1"/>
    <col min="9736" max="9984" width="9.140625" style="3"/>
    <col min="9985" max="9985" width="8" style="3" customWidth="1"/>
    <col min="9986" max="9986" width="59.140625" style="3" customWidth="1"/>
    <col min="9987" max="9989" width="14.5703125" style="3" customWidth="1"/>
    <col min="9990" max="9990" width="11.7109375" style="3" customWidth="1"/>
    <col min="9991" max="9991" width="12.140625" style="3" customWidth="1"/>
    <col min="9992" max="10240" width="9.140625" style="3"/>
    <col min="10241" max="10241" width="8" style="3" customWidth="1"/>
    <col min="10242" max="10242" width="59.140625" style="3" customWidth="1"/>
    <col min="10243" max="10245" width="14.5703125" style="3" customWidth="1"/>
    <col min="10246" max="10246" width="11.7109375" style="3" customWidth="1"/>
    <col min="10247" max="10247" width="12.140625" style="3" customWidth="1"/>
    <col min="10248" max="10496" width="9.140625" style="3"/>
    <col min="10497" max="10497" width="8" style="3" customWidth="1"/>
    <col min="10498" max="10498" width="59.140625" style="3" customWidth="1"/>
    <col min="10499" max="10501" width="14.5703125" style="3" customWidth="1"/>
    <col min="10502" max="10502" width="11.7109375" style="3" customWidth="1"/>
    <col min="10503" max="10503" width="12.140625" style="3" customWidth="1"/>
    <col min="10504" max="10752" width="9.140625" style="3"/>
    <col min="10753" max="10753" width="8" style="3" customWidth="1"/>
    <col min="10754" max="10754" width="59.140625" style="3" customWidth="1"/>
    <col min="10755" max="10757" width="14.5703125" style="3" customWidth="1"/>
    <col min="10758" max="10758" width="11.7109375" style="3" customWidth="1"/>
    <col min="10759" max="10759" width="12.140625" style="3" customWidth="1"/>
    <col min="10760" max="11008" width="9.140625" style="3"/>
    <col min="11009" max="11009" width="8" style="3" customWidth="1"/>
    <col min="11010" max="11010" width="59.140625" style="3" customWidth="1"/>
    <col min="11011" max="11013" width="14.5703125" style="3" customWidth="1"/>
    <col min="11014" max="11014" width="11.7109375" style="3" customWidth="1"/>
    <col min="11015" max="11015" width="12.140625" style="3" customWidth="1"/>
    <col min="11016" max="11264" width="9.140625" style="3"/>
    <col min="11265" max="11265" width="8" style="3" customWidth="1"/>
    <col min="11266" max="11266" width="59.140625" style="3" customWidth="1"/>
    <col min="11267" max="11269" width="14.5703125" style="3" customWidth="1"/>
    <col min="11270" max="11270" width="11.7109375" style="3" customWidth="1"/>
    <col min="11271" max="11271" width="12.140625" style="3" customWidth="1"/>
    <col min="11272" max="11520" width="9.140625" style="3"/>
    <col min="11521" max="11521" width="8" style="3" customWidth="1"/>
    <col min="11522" max="11522" width="59.140625" style="3" customWidth="1"/>
    <col min="11523" max="11525" width="14.5703125" style="3" customWidth="1"/>
    <col min="11526" max="11526" width="11.7109375" style="3" customWidth="1"/>
    <col min="11527" max="11527" width="12.140625" style="3" customWidth="1"/>
    <col min="11528" max="11776" width="9.140625" style="3"/>
    <col min="11777" max="11777" width="8" style="3" customWidth="1"/>
    <col min="11778" max="11778" width="59.140625" style="3" customWidth="1"/>
    <col min="11779" max="11781" width="14.5703125" style="3" customWidth="1"/>
    <col min="11782" max="11782" width="11.7109375" style="3" customWidth="1"/>
    <col min="11783" max="11783" width="12.140625" style="3" customWidth="1"/>
    <col min="11784" max="12032" width="9.140625" style="3"/>
    <col min="12033" max="12033" width="8" style="3" customWidth="1"/>
    <col min="12034" max="12034" width="59.140625" style="3" customWidth="1"/>
    <col min="12035" max="12037" width="14.5703125" style="3" customWidth="1"/>
    <col min="12038" max="12038" width="11.7109375" style="3" customWidth="1"/>
    <col min="12039" max="12039" width="12.140625" style="3" customWidth="1"/>
    <col min="12040" max="12288" width="9.140625" style="3"/>
    <col min="12289" max="12289" width="8" style="3" customWidth="1"/>
    <col min="12290" max="12290" width="59.140625" style="3" customWidth="1"/>
    <col min="12291" max="12293" width="14.5703125" style="3" customWidth="1"/>
    <col min="12294" max="12294" width="11.7109375" style="3" customWidth="1"/>
    <col min="12295" max="12295" width="12.140625" style="3" customWidth="1"/>
    <col min="12296" max="12544" width="9.140625" style="3"/>
    <col min="12545" max="12545" width="8" style="3" customWidth="1"/>
    <col min="12546" max="12546" width="59.140625" style="3" customWidth="1"/>
    <col min="12547" max="12549" width="14.5703125" style="3" customWidth="1"/>
    <col min="12550" max="12550" width="11.7109375" style="3" customWidth="1"/>
    <col min="12551" max="12551" width="12.140625" style="3" customWidth="1"/>
    <col min="12552" max="12800" width="9.140625" style="3"/>
    <col min="12801" max="12801" width="8" style="3" customWidth="1"/>
    <col min="12802" max="12802" width="59.140625" style="3" customWidth="1"/>
    <col min="12803" max="12805" width="14.5703125" style="3" customWidth="1"/>
    <col min="12806" max="12806" width="11.7109375" style="3" customWidth="1"/>
    <col min="12807" max="12807" width="12.140625" style="3" customWidth="1"/>
    <col min="12808" max="13056" width="9.140625" style="3"/>
    <col min="13057" max="13057" width="8" style="3" customWidth="1"/>
    <col min="13058" max="13058" width="59.140625" style="3" customWidth="1"/>
    <col min="13059" max="13061" width="14.5703125" style="3" customWidth="1"/>
    <col min="13062" max="13062" width="11.7109375" style="3" customWidth="1"/>
    <col min="13063" max="13063" width="12.140625" style="3" customWidth="1"/>
    <col min="13064" max="13312" width="9.140625" style="3"/>
    <col min="13313" max="13313" width="8" style="3" customWidth="1"/>
    <col min="13314" max="13314" width="59.140625" style="3" customWidth="1"/>
    <col min="13315" max="13317" width="14.5703125" style="3" customWidth="1"/>
    <col min="13318" max="13318" width="11.7109375" style="3" customWidth="1"/>
    <col min="13319" max="13319" width="12.140625" style="3" customWidth="1"/>
    <col min="13320" max="13568" width="9.140625" style="3"/>
    <col min="13569" max="13569" width="8" style="3" customWidth="1"/>
    <col min="13570" max="13570" width="59.140625" style="3" customWidth="1"/>
    <col min="13571" max="13573" width="14.5703125" style="3" customWidth="1"/>
    <col min="13574" max="13574" width="11.7109375" style="3" customWidth="1"/>
    <col min="13575" max="13575" width="12.140625" style="3" customWidth="1"/>
    <col min="13576" max="13824" width="9.140625" style="3"/>
    <col min="13825" max="13825" width="8" style="3" customWidth="1"/>
    <col min="13826" max="13826" width="59.140625" style="3" customWidth="1"/>
    <col min="13827" max="13829" width="14.5703125" style="3" customWidth="1"/>
    <col min="13830" max="13830" width="11.7109375" style="3" customWidth="1"/>
    <col min="13831" max="13831" width="12.140625" style="3" customWidth="1"/>
    <col min="13832" max="14080" width="9.140625" style="3"/>
    <col min="14081" max="14081" width="8" style="3" customWidth="1"/>
    <col min="14082" max="14082" width="59.140625" style="3" customWidth="1"/>
    <col min="14083" max="14085" width="14.5703125" style="3" customWidth="1"/>
    <col min="14086" max="14086" width="11.7109375" style="3" customWidth="1"/>
    <col min="14087" max="14087" width="12.140625" style="3" customWidth="1"/>
    <col min="14088" max="14336" width="9.140625" style="3"/>
    <col min="14337" max="14337" width="8" style="3" customWidth="1"/>
    <col min="14338" max="14338" width="59.140625" style="3" customWidth="1"/>
    <col min="14339" max="14341" width="14.5703125" style="3" customWidth="1"/>
    <col min="14342" max="14342" width="11.7109375" style="3" customWidth="1"/>
    <col min="14343" max="14343" width="12.140625" style="3" customWidth="1"/>
    <col min="14344" max="14592" width="9.140625" style="3"/>
    <col min="14593" max="14593" width="8" style="3" customWidth="1"/>
    <col min="14594" max="14594" width="59.140625" style="3" customWidth="1"/>
    <col min="14595" max="14597" width="14.5703125" style="3" customWidth="1"/>
    <col min="14598" max="14598" width="11.7109375" style="3" customWidth="1"/>
    <col min="14599" max="14599" width="12.140625" style="3" customWidth="1"/>
    <col min="14600" max="14848" width="9.140625" style="3"/>
    <col min="14849" max="14849" width="8" style="3" customWidth="1"/>
    <col min="14850" max="14850" width="59.140625" style="3" customWidth="1"/>
    <col min="14851" max="14853" width="14.5703125" style="3" customWidth="1"/>
    <col min="14854" max="14854" width="11.7109375" style="3" customWidth="1"/>
    <col min="14855" max="14855" width="12.140625" style="3" customWidth="1"/>
    <col min="14856" max="15104" width="9.140625" style="3"/>
    <col min="15105" max="15105" width="8" style="3" customWidth="1"/>
    <col min="15106" max="15106" width="59.140625" style="3" customWidth="1"/>
    <col min="15107" max="15109" width="14.5703125" style="3" customWidth="1"/>
    <col min="15110" max="15110" width="11.7109375" style="3" customWidth="1"/>
    <col min="15111" max="15111" width="12.140625" style="3" customWidth="1"/>
    <col min="15112" max="15360" width="9.140625" style="3"/>
    <col min="15361" max="15361" width="8" style="3" customWidth="1"/>
    <col min="15362" max="15362" width="59.140625" style="3" customWidth="1"/>
    <col min="15363" max="15365" width="14.5703125" style="3" customWidth="1"/>
    <col min="15366" max="15366" width="11.7109375" style="3" customWidth="1"/>
    <col min="15367" max="15367" width="12.140625" style="3" customWidth="1"/>
    <col min="15368" max="15616" width="9.140625" style="3"/>
    <col min="15617" max="15617" width="8" style="3" customWidth="1"/>
    <col min="15618" max="15618" width="59.140625" style="3" customWidth="1"/>
    <col min="15619" max="15621" width="14.5703125" style="3" customWidth="1"/>
    <col min="15622" max="15622" width="11.7109375" style="3" customWidth="1"/>
    <col min="15623" max="15623" width="12.140625" style="3" customWidth="1"/>
    <col min="15624" max="15872" width="9.140625" style="3"/>
    <col min="15873" max="15873" width="8" style="3" customWidth="1"/>
    <col min="15874" max="15874" width="59.140625" style="3" customWidth="1"/>
    <col min="15875" max="15877" width="14.5703125" style="3" customWidth="1"/>
    <col min="15878" max="15878" width="11.7109375" style="3" customWidth="1"/>
    <col min="15879" max="15879" width="12.140625" style="3" customWidth="1"/>
    <col min="15880" max="16128" width="9.140625" style="3"/>
    <col min="16129" max="16129" width="8" style="3" customWidth="1"/>
    <col min="16130" max="16130" width="59.140625" style="3" customWidth="1"/>
    <col min="16131" max="16133" width="14.5703125" style="3" customWidth="1"/>
    <col min="16134" max="16134" width="11.7109375" style="3" customWidth="1"/>
    <col min="16135" max="16135" width="12.140625" style="3" customWidth="1"/>
    <col min="16136" max="16384" width="9.140625" style="3"/>
  </cols>
  <sheetData>
    <row r="1" spans="1:7" x14ac:dyDescent="0.25">
      <c r="E1" s="116"/>
    </row>
    <row r="2" spans="1:7" x14ac:dyDescent="0.25">
      <c r="E2" s="1"/>
      <c r="F2" s="1"/>
      <c r="G2" s="2" t="s">
        <v>0</v>
      </c>
    </row>
    <row r="3" spans="1:7" x14ac:dyDescent="0.25">
      <c r="E3" s="1"/>
      <c r="F3" s="1"/>
      <c r="G3" s="2" t="s">
        <v>1</v>
      </c>
    </row>
    <row r="4" spans="1:7" x14ac:dyDescent="0.25">
      <c r="E4" s="1"/>
      <c r="F4" s="1"/>
      <c r="G4" s="2" t="s">
        <v>2</v>
      </c>
    </row>
    <row r="5" spans="1:7" x14ac:dyDescent="0.25">
      <c r="E5" s="116"/>
    </row>
    <row r="6" spans="1:7" ht="33" customHeight="1" x14ac:dyDescent="0.25">
      <c r="A6" s="156" t="s">
        <v>3</v>
      </c>
      <c r="B6" s="156"/>
      <c r="C6" s="156"/>
      <c r="D6" s="156"/>
      <c r="E6" s="156"/>
    </row>
    <row r="7" spans="1:7" ht="33" customHeight="1" x14ac:dyDescent="0.25">
      <c r="A7" s="4"/>
      <c r="B7" s="4"/>
      <c r="C7" s="149"/>
      <c r="D7" s="4"/>
      <c r="E7" s="4"/>
      <c r="F7" s="1"/>
      <c r="G7" s="1"/>
    </row>
    <row r="8" spans="1:7" x14ac:dyDescent="0.25">
      <c r="D8" s="1"/>
      <c r="E8" s="1"/>
      <c r="F8" s="1"/>
      <c r="G8" s="2" t="s">
        <v>4</v>
      </c>
    </row>
    <row r="9" spans="1:7" x14ac:dyDescent="0.25">
      <c r="D9" s="1"/>
      <c r="E9" s="1"/>
      <c r="F9" s="1"/>
      <c r="G9" s="2" t="s">
        <v>5</v>
      </c>
    </row>
    <row r="10" spans="1:7" x14ac:dyDescent="0.25">
      <c r="D10" s="1"/>
      <c r="E10" s="1"/>
      <c r="F10" s="1"/>
      <c r="G10" s="2"/>
    </row>
    <row r="11" spans="1:7" x14ac:dyDescent="0.25">
      <c r="D11" s="1"/>
      <c r="E11" s="1" t="s">
        <v>6</v>
      </c>
      <c r="F11" s="1"/>
      <c r="G11" s="2"/>
    </row>
    <row r="12" spans="1:7" x14ac:dyDescent="0.25">
      <c r="D12" s="1"/>
      <c r="E12" s="157" t="s">
        <v>7</v>
      </c>
      <c r="F12" s="158"/>
      <c r="G12" s="1"/>
    </row>
    <row r="13" spans="1:7" x14ac:dyDescent="0.25">
      <c r="D13" s="1"/>
      <c r="E13" s="1"/>
      <c r="F13" s="1"/>
      <c r="G13" s="2" t="s">
        <v>203</v>
      </c>
    </row>
    <row r="14" spans="1:7" x14ac:dyDescent="0.25">
      <c r="D14" s="1"/>
      <c r="E14" s="1"/>
      <c r="F14" s="1"/>
      <c r="G14" s="2" t="s">
        <v>8</v>
      </c>
    </row>
    <row r="15" spans="1:7" x14ac:dyDescent="0.25">
      <c r="D15" s="1"/>
      <c r="E15" s="1"/>
      <c r="F15" s="1"/>
      <c r="G15" s="2"/>
    </row>
    <row r="16" spans="1:7" ht="16.5" thickBot="1" x14ac:dyDescent="0.3">
      <c r="D16" s="1"/>
      <c r="E16" s="1"/>
      <c r="F16" s="1"/>
      <c r="G16" s="2" t="s">
        <v>9</v>
      </c>
    </row>
    <row r="17" spans="1:13" x14ac:dyDescent="0.25">
      <c r="A17" s="159" t="s">
        <v>10</v>
      </c>
      <c r="B17" s="161" t="s">
        <v>11</v>
      </c>
      <c r="C17" s="150">
        <v>2015</v>
      </c>
      <c r="D17" s="5">
        <v>2016</v>
      </c>
      <c r="E17" s="130">
        <v>2017</v>
      </c>
      <c r="F17" s="5">
        <v>2018</v>
      </c>
      <c r="G17" s="6">
        <v>2019</v>
      </c>
    </row>
    <row r="18" spans="1:13" x14ac:dyDescent="0.25">
      <c r="A18" s="160"/>
      <c r="B18" s="162"/>
      <c r="C18" s="162" t="s">
        <v>12</v>
      </c>
      <c r="D18" s="162" t="s">
        <v>12</v>
      </c>
      <c r="E18" s="163" t="s">
        <v>12</v>
      </c>
      <c r="F18" s="162" t="s">
        <v>12</v>
      </c>
      <c r="G18" s="155" t="s">
        <v>12</v>
      </c>
    </row>
    <row r="19" spans="1:13" x14ac:dyDescent="0.25">
      <c r="A19" s="160"/>
      <c r="B19" s="162"/>
      <c r="C19" s="162"/>
      <c r="D19" s="162"/>
      <c r="E19" s="163"/>
      <c r="F19" s="162"/>
      <c r="G19" s="155"/>
    </row>
    <row r="20" spans="1:13" s="9" customFormat="1" ht="16.5" thickBot="1" x14ac:dyDescent="0.3">
      <c r="A20" s="7">
        <v>1</v>
      </c>
      <c r="B20" s="8">
        <v>2</v>
      </c>
      <c r="C20" s="8">
        <v>3</v>
      </c>
      <c r="D20" s="8">
        <v>4</v>
      </c>
      <c r="E20" s="131">
        <v>5</v>
      </c>
      <c r="F20" s="132">
        <v>6</v>
      </c>
      <c r="G20" s="129">
        <v>7</v>
      </c>
    </row>
    <row r="21" spans="1:13" s="9" customFormat="1" x14ac:dyDescent="0.25">
      <c r="A21" s="10" t="s">
        <v>13</v>
      </c>
      <c r="B21" s="45" t="s">
        <v>14</v>
      </c>
      <c r="C21" s="11">
        <f>C23+C26</f>
        <v>997.78134999999997</v>
      </c>
      <c r="D21" s="11">
        <f>D23+D26</f>
        <v>1703.6379999999999</v>
      </c>
      <c r="E21" s="11">
        <f>E23+E26</f>
        <v>1717.0578400000002</v>
      </c>
      <c r="F21" s="11">
        <f>F23+F26</f>
        <v>1848.0262240000002</v>
      </c>
      <c r="G21" s="32">
        <f>G23+G26</f>
        <v>1991.1204228498004</v>
      </c>
    </row>
    <row r="22" spans="1:13" s="9" customFormat="1" x14ac:dyDescent="0.25">
      <c r="A22" s="12"/>
      <c r="B22" s="103" t="s">
        <v>15</v>
      </c>
      <c r="C22" s="13"/>
      <c r="D22" s="13"/>
      <c r="E22" s="13"/>
      <c r="F22" s="13"/>
      <c r="G22" s="14"/>
    </row>
    <row r="23" spans="1:13" s="9" customFormat="1" ht="31.5" x14ac:dyDescent="0.25">
      <c r="A23" s="12" t="s">
        <v>16</v>
      </c>
      <c r="B23" s="103" t="s">
        <v>17</v>
      </c>
      <c r="C23" s="13">
        <f>C24+C25</f>
        <v>499.52535</v>
      </c>
      <c r="D23" s="13">
        <f>D24+D25</f>
        <v>1543.6079999999999</v>
      </c>
      <c r="E23" s="13">
        <f>E24+E25</f>
        <v>1708.3582140000001</v>
      </c>
      <c r="F23" s="13">
        <f>F24+F25</f>
        <v>1838.4566354000001</v>
      </c>
      <c r="G23" s="14">
        <f>G24+G25</f>
        <v>1981.1393419400003</v>
      </c>
      <c r="I23" s="15"/>
    </row>
    <row r="24" spans="1:13" s="9" customFormat="1" x14ac:dyDescent="0.25">
      <c r="A24" s="16"/>
      <c r="B24" s="104" t="s">
        <v>18</v>
      </c>
      <c r="C24" s="17">
        <f>499.52535-16.238521</f>
        <v>483.28682900000001</v>
      </c>
      <c r="D24" s="17">
        <f>1543.608-16.60326</f>
        <v>1527.0047399999999</v>
      </c>
      <c r="E24" s="17">
        <f>D24*1.1-37.034+19.553+9.1</f>
        <v>1671.324214</v>
      </c>
      <c r="F24" s="17">
        <f>E24*1.1-F25</f>
        <v>1801.0357654000002</v>
      </c>
      <c r="G24" s="18">
        <f>F24*1.1-G25</f>
        <v>1943.3400075700004</v>
      </c>
    </row>
    <row r="25" spans="1:13" s="9" customFormat="1" x14ac:dyDescent="0.25">
      <c r="A25" s="16"/>
      <c r="B25" s="104" t="s">
        <v>19</v>
      </c>
      <c r="C25" s="17">
        <v>16.238520999999999</v>
      </c>
      <c r="D25" s="17">
        <v>16.603259999999999</v>
      </c>
      <c r="E25" s="17">
        <v>37.033999999999999</v>
      </c>
      <c r="F25" s="17">
        <f>30+7.034*1.055</f>
        <v>37.420870000000001</v>
      </c>
      <c r="G25" s="18">
        <f>30+7.034*1.055*1.051</f>
        <v>37.799334369999997</v>
      </c>
    </row>
    <row r="26" spans="1:13" s="9" customFormat="1" ht="16.5" thickBot="1" x14ac:dyDescent="0.3">
      <c r="A26" s="19" t="s">
        <v>20</v>
      </c>
      <c r="B26" s="105" t="s">
        <v>21</v>
      </c>
      <c r="C26" s="20">
        <f>11.752+478.912+7.592</f>
        <v>498.25599999999997</v>
      </c>
      <c r="D26" s="20">
        <f>151.869+8.161</f>
        <v>160.03</v>
      </c>
      <c r="E26" s="20">
        <f>8.161*1.066</f>
        <v>8.6996260000000003</v>
      </c>
      <c r="F26" s="20">
        <f>E26*1.1</f>
        <v>9.5695886000000012</v>
      </c>
      <c r="G26" s="21">
        <f>F26*1.043</f>
        <v>9.9810809098000011</v>
      </c>
    </row>
    <row r="27" spans="1:13" s="9" customFormat="1" x14ac:dyDescent="0.25">
      <c r="A27" s="22" t="s">
        <v>22</v>
      </c>
      <c r="B27" s="106" t="s">
        <v>23</v>
      </c>
      <c r="C27" s="23">
        <f>C29+C34+C35+C36+C37</f>
        <v>953.10139000000004</v>
      </c>
      <c r="D27" s="23">
        <f>D29+D34+D35+D36+D37</f>
        <v>1770.5868800000001</v>
      </c>
      <c r="E27" s="23">
        <f>E29+E34+E35+E36+E37</f>
        <v>1617.31106</v>
      </c>
      <c r="F27" s="23">
        <f>F29+F34+F35+F36+F37</f>
        <v>1737.9626277000002</v>
      </c>
      <c r="G27" s="114">
        <f>G29+G34+G35+G36+G37</f>
        <v>1881.5906241077003</v>
      </c>
      <c r="I27" s="15"/>
      <c r="J27" s="15"/>
      <c r="K27" s="15"/>
      <c r="L27" s="15"/>
      <c r="M27" s="15"/>
    </row>
    <row r="28" spans="1:13" s="9" customFormat="1" ht="15.75" hidden="1" customHeight="1" outlineLevel="1" x14ac:dyDescent="0.25">
      <c r="A28" s="22"/>
      <c r="B28" s="106"/>
      <c r="C28" s="168">
        <f>C27-C29-C34-C35-C36-C37</f>
        <v>0</v>
      </c>
      <c r="D28" s="23">
        <f>D27-D29-D34-D35-D36-D37</f>
        <v>0</v>
      </c>
      <c r="E28" s="23">
        <f>E27-E29-E34-E35-E36-E37</f>
        <v>0</v>
      </c>
      <c r="F28" s="23">
        <f>F27-F29-F34-F35-F36-F37</f>
        <v>0</v>
      </c>
      <c r="G28" s="114">
        <f>G27-G29-G34-G35-G36-G37</f>
        <v>0</v>
      </c>
    </row>
    <row r="29" spans="1:13" s="9" customFormat="1" collapsed="1" x14ac:dyDescent="0.25">
      <c r="A29" s="24" t="s">
        <v>24</v>
      </c>
      <c r="B29" s="107" t="s">
        <v>25</v>
      </c>
      <c r="C29" s="13">
        <f>C31+C32+C33</f>
        <v>493.19099999999997</v>
      </c>
      <c r="D29" s="13">
        <f>D31+D32+D33</f>
        <v>281.38687000000004</v>
      </c>
      <c r="E29" s="13">
        <f>E31+E32+E33</f>
        <v>18.735710000000001</v>
      </c>
      <c r="F29" s="13">
        <f>F31+F32+F33</f>
        <v>19.766174049999996</v>
      </c>
      <c r="G29" s="14">
        <f>G31+G32+G33</f>
        <v>20.774248926549998</v>
      </c>
    </row>
    <row r="30" spans="1:13" s="9" customFormat="1" x14ac:dyDescent="0.25">
      <c r="A30" s="12"/>
      <c r="B30" s="103" t="s">
        <v>15</v>
      </c>
      <c r="C30" s="25"/>
      <c r="D30" s="25"/>
      <c r="E30" s="119"/>
      <c r="F30" s="119"/>
      <c r="G30" s="120"/>
    </row>
    <row r="31" spans="1:13" s="9" customFormat="1" x14ac:dyDescent="0.25">
      <c r="A31" s="12" t="s">
        <v>16</v>
      </c>
      <c r="B31" s="103" t="s">
        <v>26</v>
      </c>
      <c r="C31" s="25">
        <f>4.45+1.132</f>
        <v>5.5819999999999999</v>
      </c>
      <c r="D31" s="25">
        <f>3.17111+0.373</f>
        <v>3.5441099999999999</v>
      </c>
      <c r="E31" s="25">
        <f>3.36811</f>
        <v>3.3681100000000002</v>
      </c>
      <c r="F31" s="25">
        <f>E31*1.055</f>
        <v>3.5533560500000001</v>
      </c>
      <c r="G31" s="26">
        <f>F31*1.051</f>
        <v>3.7345772085499997</v>
      </c>
    </row>
    <row r="32" spans="1:13" s="9" customFormat="1" x14ac:dyDescent="0.25">
      <c r="A32" s="12" t="s">
        <v>20</v>
      </c>
      <c r="B32" s="103" t="s">
        <v>27</v>
      </c>
      <c r="C32" s="25">
        <v>10</v>
      </c>
      <c r="D32" s="25">
        <f>10.78416+0.729</f>
        <v>11.513159999999999</v>
      </c>
      <c r="E32" s="25">
        <f>11.4541</f>
        <v>11.4541</v>
      </c>
      <c r="F32" s="25">
        <f t="shared" ref="F32:F34" si="0">E32*1.055</f>
        <v>12.084075499999999</v>
      </c>
      <c r="G32" s="26">
        <f t="shared" ref="G32:G34" si="1">F32*1.051</f>
        <v>12.700363350499998</v>
      </c>
    </row>
    <row r="33" spans="1:7" s="9" customFormat="1" x14ac:dyDescent="0.25">
      <c r="A33" s="12" t="s">
        <v>28</v>
      </c>
      <c r="B33" s="103" t="s">
        <v>29</v>
      </c>
      <c r="C33" s="25">
        <f>4.25+465.012+0.275+8.072</f>
        <v>477.60899999999998</v>
      </c>
      <c r="D33" s="25">
        <f>3.6846+115.644+147.001</f>
        <v>266.32960000000003</v>
      </c>
      <c r="E33" s="25">
        <f>3.9135</f>
        <v>3.9135</v>
      </c>
      <c r="F33" s="25">
        <f t="shared" si="0"/>
        <v>4.1287424999999995</v>
      </c>
      <c r="G33" s="26">
        <f t="shared" si="1"/>
        <v>4.3393083674999993</v>
      </c>
    </row>
    <row r="34" spans="1:7" s="9" customFormat="1" x14ac:dyDescent="0.25">
      <c r="A34" s="24" t="s">
        <v>30</v>
      </c>
      <c r="B34" s="107" t="s">
        <v>31</v>
      </c>
      <c r="C34" s="13">
        <f>123.66467+34.62611+11.783</f>
        <v>170.07377999999997</v>
      </c>
      <c r="D34" s="13">
        <f>102.44214+29.35992+2.716+1.921+0.826+0.584</f>
        <v>137.84905999999998</v>
      </c>
      <c r="E34" s="13">
        <f>108.80612+31.9346</f>
        <v>140.74072000000001</v>
      </c>
      <c r="F34" s="13">
        <f t="shared" si="0"/>
        <v>148.48145959999999</v>
      </c>
      <c r="G34" s="14">
        <f t="shared" si="1"/>
        <v>156.05401403959999</v>
      </c>
    </row>
    <row r="35" spans="1:7" s="9" customFormat="1" x14ac:dyDescent="0.25">
      <c r="A35" s="24" t="s">
        <v>32</v>
      </c>
      <c r="B35" s="107" t="s">
        <v>33</v>
      </c>
      <c r="C35" s="13">
        <v>129.04828000000001</v>
      </c>
      <c r="D35" s="13">
        <v>153.92084</v>
      </c>
      <c r="E35" s="13">
        <v>177.64</v>
      </c>
      <c r="F35" s="13">
        <v>151.43100000000001</v>
      </c>
      <c r="G35" s="14">
        <v>152.89099999999999</v>
      </c>
    </row>
    <row r="36" spans="1:7" s="9" customFormat="1" x14ac:dyDescent="0.25">
      <c r="A36" s="24" t="s">
        <v>34</v>
      </c>
      <c r="B36" s="107" t="s">
        <v>35</v>
      </c>
      <c r="C36" s="13">
        <f>0.21</f>
        <v>0.21</v>
      </c>
      <c r="D36" s="13">
        <f>0.21306</f>
        <v>0.21306</v>
      </c>
      <c r="E36" s="13">
        <f>0.20591</f>
        <v>0.20591000000000001</v>
      </c>
      <c r="F36" s="13">
        <f>E36</f>
        <v>0.20591000000000001</v>
      </c>
      <c r="G36" s="14">
        <f>F36</f>
        <v>0.20591000000000001</v>
      </c>
    </row>
    <row r="37" spans="1:7" s="9" customFormat="1" x14ac:dyDescent="0.25">
      <c r="A37" s="24" t="s">
        <v>36</v>
      </c>
      <c r="B37" s="107" t="s">
        <v>37</v>
      </c>
      <c r="C37" s="13">
        <f>119.03222+1.4+29.66611+14.8-9.722+5.402</f>
        <v>160.57832999999999</v>
      </c>
      <c r="D37" s="13">
        <f>D39+D40+1.49719+2.891+1049.98+110.596+13.06992+2.085+2.729</f>
        <v>1197.21705</v>
      </c>
      <c r="E37" s="13">
        <f>E39+E40+1.59585+13.88186+37.034+52.3067+1155.201974+4.669626</f>
        <v>1279.9887200000001</v>
      </c>
      <c r="F37" s="13">
        <f>F39+F40+1406.537945-4.6</f>
        <v>1418.0780840500001</v>
      </c>
      <c r="G37" s="14">
        <f>G39+G40+1540.627725-5.5-0.42556</f>
        <v>1551.6654511415502</v>
      </c>
    </row>
    <row r="38" spans="1:7" s="9" customFormat="1" x14ac:dyDescent="0.25">
      <c r="A38" s="12"/>
      <c r="B38" s="103" t="s">
        <v>15</v>
      </c>
      <c r="C38" s="25"/>
      <c r="D38" s="25"/>
      <c r="E38" s="119"/>
      <c r="F38" s="25"/>
      <c r="G38" s="26"/>
    </row>
    <row r="39" spans="1:7" s="9" customFormat="1" x14ac:dyDescent="0.25">
      <c r="A39" s="12" t="s">
        <v>38</v>
      </c>
      <c r="B39" s="103" t="s">
        <v>39</v>
      </c>
      <c r="C39" s="25">
        <v>14.8</v>
      </c>
      <c r="D39" s="25">
        <v>12.96687</v>
      </c>
      <c r="E39" s="25">
        <f>13.77241</f>
        <v>13.772410000000001</v>
      </c>
      <c r="F39" s="25">
        <f t="shared" ref="F39:F41" si="2">E39*1.055</f>
        <v>14.52989255</v>
      </c>
      <c r="G39" s="26">
        <f t="shared" ref="G39:G41" si="3">F39*1.051</f>
        <v>15.270917070049999</v>
      </c>
    </row>
    <row r="40" spans="1:7" s="9" customFormat="1" x14ac:dyDescent="0.25">
      <c r="A40" s="12" t="s">
        <v>40</v>
      </c>
      <c r="B40" s="103" t="s">
        <v>41</v>
      </c>
      <c r="C40" s="25"/>
      <c r="D40" s="25">
        <v>1.4020699999999999</v>
      </c>
      <c r="E40" s="25">
        <v>1.5263</v>
      </c>
      <c r="F40" s="25">
        <f t="shared" si="2"/>
        <v>1.6102464999999999</v>
      </c>
      <c r="G40" s="26">
        <f t="shared" si="3"/>
        <v>1.6923690714999997</v>
      </c>
    </row>
    <row r="41" spans="1:7" s="9" customFormat="1" ht="16.5" thickBot="1" x14ac:dyDescent="0.3">
      <c r="A41" s="19" t="s">
        <v>42</v>
      </c>
      <c r="B41" s="105" t="s">
        <v>43</v>
      </c>
      <c r="C41" s="27">
        <v>97.967219999999998</v>
      </c>
      <c r="D41" s="27">
        <v>106.02079000000001</v>
      </c>
      <c r="E41" s="27">
        <v>113.47535999999999</v>
      </c>
      <c r="F41" s="27">
        <f t="shared" si="2"/>
        <v>119.71650479999998</v>
      </c>
      <c r="G41" s="26">
        <f t="shared" si="3"/>
        <v>125.82204654479997</v>
      </c>
    </row>
    <row r="42" spans="1:7" s="9" customFormat="1" ht="16.5" thickBot="1" x14ac:dyDescent="0.3">
      <c r="A42" s="29" t="s">
        <v>44</v>
      </c>
      <c r="B42" s="108" t="s">
        <v>45</v>
      </c>
      <c r="C42" s="30">
        <f>C21-C27</f>
        <v>44.679959999999937</v>
      </c>
      <c r="D42" s="30">
        <f>D21-D27</f>
        <v>-66.948880000000145</v>
      </c>
      <c r="E42" s="30">
        <f>E21-E27</f>
        <v>99.746780000000172</v>
      </c>
      <c r="F42" s="30">
        <f>F21-F27</f>
        <v>110.06359629999997</v>
      </c>
      <c r="G42" s="31">
        <f>G21-G27</f>
        <v>109.52979874210018</v>
      </c>
    </row>
    <row r="43" spans="1:7" s="9" customFormat="1" x14ac:dyDescent="0.25">
      <c r="A43" s="10" t="s">
        <v>46</v>
      </c>
      <c r="B43" s="45" t="s">
        <v>47</v>
      </c>
      <c r="C43" s="11">
        <f>C44-C48</f>
        <v>-20.330590000000004</v>
      </c>
      <c r="D43" s="11">
        <f>D44-D48</f>
        <v>-20.225009999999997</v>
      </c>
      <c r="E43" s="11">
        <f>E44-E48</f>
        <v>-59.378720000000008</v>
      </c>
      <c r="F43" s="11">
        <f>F44-F48</f>
        <v>-74.913595999999984</v>
      </c>
      <c r="G43" s="32">
        <f>G44-G48</f>
        <v>-76.259795999999994</v>
      </c>
    </row>
    <row r="44" spans="1:7" s="9" customFormat="1" x14ac:dyDescent="0.25">
      <c r="A44" s="12" t="s">
        <v>24</v>
      </c>
      <c r="B44" s="103" t="s">
        <v>48</v>
      </c>
      <c r="C44" s="25"/>
      <c r="D44" s="25">
        <v>1.9</v>
      </c>
      <c r="E44" s="25">
        <v>1.9</v>
      </c>
      <c r="F44" s="25">
        <v>1.9</v>
      </c>
      <c r="G44" s="26">
        <v>1.9</v>
      </c>
    </row>
    <row r="45" spans="1:7" s="9" customFormat="1" x14ac:dyDescent="0.25">
      <c r="A45" s="12"/>
      <c r="B45" s="103" t="s">
        <v>49</v>
      </c>
      <c r="C45" s="25"/>
      <c r="D45" s="25"/>
      <c r="E45" s="25"/>
      <c r="F45" s="119"/>
      <c r="G45" s="120"/>
    </row>
    <row r="46" spans="1:7" s="9" customFormat="1" ht="31.5" x14ac:dyDescent="0.25">
      <c r="A46" s="12" t="s">
        <v>16</v>
      </c>
      <c r="B46" s="103" t="s">
        <v>50</v>
      </c>
      <c r="C46" s="25"/>
      <c r="D46" s="119"/>
      <c r="E46" s="25"/>
      <c r="F46" s="119"/>
      <c r="G46" s="120"/>
    </row>
    <row r="47" spans="1:7" s="9" customFormat="1" x14ac:dyDescent="0.25">
      <c r="A47" s="12" t="s">
        <v>20</v>
      </c>
      <c r="B47" s="109" t="s">
        <v>51</v>
      </c>
      <c r="C47" s="25"/>
      <c r="D47" s="119"/>
      <c r="E47" s="25"/>
      <c r="F47" s="119"/>
      <c r="G47" s="120"/>
    </row>
    <row r="48" spans="1:7" s="9" customFormat="1" x14ac:dyDescent="0.25">
      <c r="A48" s="12" t="s">
        <v>30</v>
      </c>
      <c r="B48" s="103" t="s">
        <v>52</v>
      </c>
      <c r="C48" s="25">
        <f>18.63359+0.068+1.466+0.163</f>
        <v>20.330590000000004</v>
      </c>
      <c r="D48" s="25">
        <f>0.32352+17.6438+4.09769+0.06</f>
        <v>22.125009999999996</v>
      </c>
      <c r="E48" s="25">
        <f>0.34362+22.02986+4.35224+15+19.553</f>
        <v>61.278720000000007</v>
      </c>
      <c r="F48" s="25">
        <f>F50+22.1+0.35+4.5916+16</f>
        <v>76.81359599999999</v>
      </c>
      <c r="G48" s="26">
        <f>G50+22.1+0.35+4.8258+16</f>
        <v>78.159796</v>
      </c>
    </row>
    <row r="49" spans="1:9" s="9" customFormat="1" x14ac:dyDescent="0.25">
      <c r="A49" s="12"/>
      <c r="B49" s="103" t="s">
        <v>49</v>
      </c>
      <c r="C49" s="25"/>
      <c r="D49" s="119"/>
      <c r="E49" s="25"/>
      <c r="F49" s="119"/>
      <c r="G49" s="120"/>
    </row>
    <row r="50" spans="1:9" s="9" customFormat="1" ht="16.5" thickBot="1" x14ac:dyDescent="0.3">
      <c r="A50" s="19" t="s">
        <v>53</v>
      </c>
      <c r="B50" s="105" t="s">
        <v>54</v>
      </c>
      <c r="C50" s="27">
        <v>0</v>
      </c>
      <c r="D50" s="27">
        <v>0</v>
      </c>
      <c r="E50" s="27">
        <v>19.553000000000001</v>
      </c>
      <c r="F50" s="27">
        <f>'БДР сжатый и БДДС'!E45</f>
        <v>33.771995999999994</v>
      </c>
      <c r="G50" s="28">
        <f>'БДР сжатый и БДДС'!F45</f>
        <v>34.883995999999996</v>
      </c>
    </row>
    <row r="51" spans="1:9" s="9" customFormat="1" ht="16.5" thickBot="1" x14ac:dyDescent="0.3">
      <c r="A51" s="33" t="s">
        <v>55</v>
      </c>
      <c r="B51" s="44" t="s">
        <v>56</v>
      </c>
      <c r="C51" s="34">
        <f>C42+C43</f>
        <v>24.349369999999933</v>
      </c>
      <c r="D51" s="34">
        <f>D42+D43</f>
        <v>-87.173890000000142</v>
      </c>
      <c r="E51" s="34">
        <f>E42+E43</f>
        <v>40.368060000000163</v>
      </c>
      <c r="F51" s="34">
        <f>F42+F43</f>
        <v>35.150000299999988</v>
      </c>
      <c r="G51" s="31">
        <f>G42+G43</f>
        <v>33.270002742100189</v>
      </c>
    </row>
    <row r="52" spans="1:9" s="9" customFormat="1" ht="16.5" thickBot="1" x14ac:dyDescent="0.3">
      <c r="A52" s="33" t="s">
        <v>57</v>
      </c>
      <c r="B52" s="44" t="s">
        <v>58</v>
      </c>
      <c r="C52" s="34">
        <f>9.74437+3.06</f>
        <v>12.80437</v>
      </c>
      <c r="D52" s="34">
        <f>8.71017+(4.098-1.192)*20%</f>
        <v>9.2913700000000006</v>
      </c>
      <c r="E52" s="34">
        <f>10.36806</f>
        <v>10.36806</v>
      </c>
      <c r="F52" s="34">
        <v>12.1</v>
      </c>
      <c r="G52" s="31">
        <v>13</v>
      </c>
    </row>
    <row r="53" spans="1:9" s="9" customFormat="1" ht="16.5" thickBot="1" x14ac:dyDescent="0.3">
      <c r="A53" s="33" t="s">
        <v>59</v>
      </c>
      <c r="B53" s="44" t="s">
        <v>60</v>
      </c>
      <c r="C53" s="34">
        <f>C51-C52</f>
        <v>11.544999999999932</v>
      </c>
      <c r="D53" s="34">
        <f>D51-D52</f>
        <v>-96.465260000000143</v>
      </c>
      <c r="E53" s="34">
        <f>E51-E52</f>
        <v>30.000000000000163</v>
      </c>
      <c r="F53" s="34">
        <f>F51-F52</f>
        <v>23.050000299999986</v>
      </c>
      <c r="G53" s="31">
        <f>G51-G52</f>
        <v>20.270002742100189</v>
      </c>
    </row>
    <row r="54" spans="1:9" s="9" customFormat="1" x14ac:dyDescent="0.25">
      <c r="A54" s="10" t="s">
        <v>61</v>
      </c>
      <c r="B54" s="45" t="s">
        <v>62</v>
      </c>
      <c r="C54" s="11">
        <f>C59</f>
        <v>9.7219999999999995</v>
      </c>
      <c r="D54" s="11">
        <f>D59</f>
        <v>13.712</v>
      </c>
      <c r="E54" s="11">
        <f>E59</f>
        <v>30</v>
      </c>
      <c r="F54" s="11">
        <f>F59</f>
        <v>30</v>
      </c>
      <c r="G54" s="32">
        <f>G59</f>
        <v>30</v>
      </c>
      <c r="I54" s="133"/>
    </row>
    <row r="55" spans="1:9" s="9" customFormat="1" x14ac:dyDescent="0.25">
      <c r="A55" s="12"/>
      <c r="B55" s="103" t="s">
        <v>15</v>
      </c>
      <c r="C55" s="25"/>
      <c r="D55" s="25"/>
      <c r="E55" s="119"/>
      <c r="F55" s="119"/>
      <c r="G55" s="120"/>
    </row>
    <row r="56" spans="1:9" s="9" customFormat="1" x14ac:dyDescent="0.25">
      <c r="A56" s="12" t="s">
        <v>24</v>
      </c>
      <c r="B56" s="103" t="s">
        <v>63</v>
      </c>
      <c r="C56" s="25"/>
      <c r="D56" s="119"/>
      <c r="E56" s="119"/>
      <c r="F56" s="119"/>
      <c r="G56" s="120"/>
    </row>
    <row r="57" spans="1:9" s="9" customFormat="1" x14ac:dyDescent="0.25">
      <c r="A57" s="35" t="s">
        <v>30</v>
      </c>
      <c r="B57" s="103" t="s">
        <v>64</v>
      </c>
      <c r="C57" s="25"/>
      <c r="D57" s="119"/>
      <c r="E57" s="119"/>
      <c r="F57" s="119"/>
      <c r="G57" s="120"/>
    </row>
    <row r="58" spans="1:9" s="9" customFormat="1" x14ac:dyDescent="0.25">
      <c r="A58" s="12" t="s">
        <v>32</v>
      </c>
      <c r="B58" s="103" t="s">
        <v>65</v>
      </c>
      <c r="C58" s="25"/>
      <c r="D58" s="119"/>
      <c r="E58" s="119"/>
      <c r="F58" s="119"/>
      <c r="G58" s="120"/>
    </row>
    <row r="59" spans="1:9" s="9" customFormat="1" ht="32.25" thickBot="1" x14ac:dyDescent="0.3">
      <c r="A59" s="19" t="s">
        <v>34</v>
      </c>
      <c r="B59" s="105" t="s">
        <v>66</v>
      </c>
      <c r="C59" s="20">
        <f>9.722</f>
        <v>9.7219999999999995</v>
      </c>
      <c r="D59" s="20">
        <f>источники!D24</f>
        <v>13.712</v>
      </c>
      <c r="E59" s="20">
        <f>источники!E24</f>
        <v>30</v>
      </c>
      <c r="F59" s="20">
        <f>источники!F24</f>
        <v>30</v>
      </c>
      <c r="G59" s="21">
        <f>источники!G24</f>
        <v>30</v>
      </c>
    </row>
    <row r="60" spans="1:9" s="9" customFormat="1" x14ac:dyDescent="0.25">
      <c r="A60" s="10" t="s">
        <v>67</v>
      </c>
      <c r="B60" s="45" t="s">
        <v>68</v>
      </c>
      <c r="C60" s="11"/>
      <c r="D60" s="117"/>
      <c r="E60" s="117"/>
      <c r="F60" s="117"/>
      <c r="G60" s="118"/>
    </row>
    <row r="61" spans="1:9" s="37" customFormat="1" x14ac:dyDescent="0.25">
      <c r="A61" s="12" t="s">
        <v>24</v>
      </c>
      <c r="B61" s="110" t="s">
        <v>69</v>
      </c>
      <c r="C61" s="25"/>
      <c r="D61" s="25">
        <v>179.16</v>
      </c>
      <c r="E61" s="25">
        <v>138.35</v>
      </c>
      <c r="F61" s="25"/>
      <c r="G61" s="26"/>
    </row>
    <row r="62" spans="1:9" s="37" customFormat="1" x14ac:dyDescent="0.25">
      <c r="A62" s="12" t="s">
        <v>30</v>
      </c>
      <c r="B62" s="103" t="s">
        <v>70</v>
      </c>
      <c r="C62" s="25"/>
      <c r="D62" s="119"/>
      <c r="E62" s="119"/>
      <c r="F62" s="119"/>
      <c r="G62" s="120"/>
    </row>
    <row r="63" spans="1:9" s="37" customFormat="1" ht="16.5" thickBot="1" x14ac:dyDescent="0.3">
      <c r="A63" s="19"/>
      <c r="B63" s="105" t="s">
        <v>71</v>
      </c>
      <c r="C63" s="27"/>
      <c r="D63" s="27">
        <f>D61-D62</f>
        <v>179.16</v>
      </c>
      <c r="E63" s="27">
        <f t="shared" ref="E63:G63" si="4">E61-E62</f>
        <v>138.35</v>
      </c>
      <c r="F63" s="27">
        <f t="shared" si="4"/>
        <v>0</v>
      </c>
      <c r="G63" s="26">
        <f t="shared" si="4"/>
        <v>0</v>
      </c>
    </row>
    <row r="64" spans="1:9" s="9" customFormat="1" x14ac:dyDescent="0.25">
      <c r="A64" s="10" t="s">
        <v>72</v>
      </c>
      <c r="B64" s="45" t="s">
        <v>73</v>
      </c>
      <c r="C64" s="11"/>
      <c r="D64" s="117"/>
      <c r="E64" s="117"/>
      <c r="F64" s="117"/>
      <c r="G64" s="118"/>
    </row>
    <row r="65" spans="1:7" s="37" customFormat="1" x14ac:dyDescent="0.25">
      <c r="A65" s="12" t="s">
        <v>24</v>
      </c>
      <c r="B65" s="110" t="s">
        <v>74</v>
      </c>
      <c r="C65" s="25"/>
      <c r="D65" s="25">
        <v>288.161</v>
      </c>
      <c r="E65" s="25">
        <v>149.61000000000001</v>
      </c>
      <c r="F65" s="25"/>
      <c r="G65" s="26"/>
    </row>
    <row r="66" spans="1:7" s="37" customFormat="1" x14ac:dyDescent="0.25">
      <c r="A66" s="12" t="s">
        <v>30</v>
      </c>
      <c r="B66" s="103" t="s">
        <v>75</v>
      </c>
      <c r="C66" s="25"/>
      <c r="D66" s="119"/>
      <c r="E66" s="119"/>
      <c r="F66" s="119"/>
      <c r="G66" s="120"/>
    </row>
    <row r="67" spans="1:7" s="37" customFormat="1" ht="16.5" thickBot="1" x14ac:dyDescent="0.3">
      <c r="A67" s="19"/>
      <c r="B67" s="105" t="s">
        <v>71</v>
      </c>
      <c r="C67" s="27"/>
      <c r="D67" s="27">
        <f>D65-D66</f>
        <v>288.161</v>
      </c>
      <c r="E67" s="27">
        <f t="shared" ref="E67:G67" si="5">E65-E66</f>
        <v>149.61000000000001</v>
      </c>
      <c r="F67" s="27">
        <f t="shared" si="5"/>
        <v>0</v>
      </c>
      <c r="G67" s="153">
        <f t="shared" si="5"/>
        <v>0</v>
      </c>
    </row>
    <row r="68" spans="1:7" s="9" customFormat="1" x14ac:dyDescent="0.25">
      <c r="A68" s="10" t="s">
        <v>76</v>
      </c>
      <c r="B68" s="45" t="s">
        <v>77</v>
      </c>
      <c r="C68" s="11">
        <f>C70+C72</f>
        <v>0</v>
      </c>
      <c r="D68" s="11">
        <f>D70+D72</f>
        <v>697</v>
      </c>
      <c r="E68" s="11">
        <f t="shared" ref="E68:G68" si="6">E70+E72</f>
        <v>255.5</v>
      </c>
      <c r="F68" s="11">
        <f t="shared" si="6"/>
        <v>174</v>
      </c>
      <c r="G68" s="32">
        <f t="shared" si="6"/>
        <v>160</v>
      </c>
    </row>
    <row r="69" spans="1:7" s="9" customFormat="1" x14ac:dyDescent="0.25">
      <c r="A69" s="24"/>
      <c r="B69" s="103" t="s">
        <v>78</v>
      </c>
      <c r="C69" s="25"/>
      <c r="D69" s="25"/>
      <c r="E69" s="25"/>
      <c r="F69" s="25"/>
      <c r="G69" s="26"/>
    </row>
    <row r="70" spans="1:7" s="9" customFormat="1" x14ac:dyDescent="0.25">
      <c r="A70" s="12" t="s">
        <v>24</v>
      </c>
      <c r="B70" s="103" t="s">
        <v>79</v>
      </c>
      <c r="C70" s="25"/>
      <c r="D70" s="25">
        <v>3.4289999999999998</v>
      </c>
      <c r="E70" s="25">
        <v>100</v>
      </c>
      <c r="F70" s="25">
        <v>130</v>
      </c>
      <c r="G70" s="26">
        <v>130</v>
      </c>
    </row>
    <row r="71" spans="1:7" s="9" customFormat="1" x14ac:dyDescent="0.25">
      <c r="A71" s="12" t="s">
        <v>16</v>
      </c>
      <c r="B71" s="103" t="s">
        <v>80</v>
      </c>
      <c r="C71" s="13"/>
      <c r="D71" s="13"/>
      <c r="E71" s="13"/>
      <c r="F71" s="13"/>
      <c r="G71" s="14"/>
    </row>
    <row r="72" spans="1:7" s="9" customFormat="1" ht="16.5" thickBot="1" x14ac:dyDescent="0.3">
      <c r="A72" s="19" t="s">
        <v>30</v>
      </c>
      <c r="B72" s="105" t="s">
        <v>81</v>
      </c>
      <c r="C72" s="20"/>
      <c r="D72" s="27">
        <f>'БДР сжатый и БДДС'!C54-3.429</f>
        <v>693.57100000000003</v>
      </c>
      <c r="E72" s="20">
        <f>'БДР сжатый и БДДС'!D54-100</f>
        <v>155.5</v>
      </c>
      <c r="F72" s="20">
        <f>'БДР сжатый и БДДС'!E54-130</f>
        <v>44</v>
      </c>
      <c r="G72" s="21">
        <f>'БДР сжатый и БДДС'!F54-130</f>
        <v>30</v>
      </c>
    </row>
    <row r="73" spans="1:7" s="9" customFormat="1" x14ac:dyDescent="0.25">
      <c r="A73" s="10" t="s">
        <v>82</v>
      </c>
      <c r="B73" s="45" t="s">
        <v>83</v>
      </c>
      <c r="C73" s="11">
        <f>C75+C77</f>
        <v>0</v>
      </c>
      <c r="D73" s="11">
        <f>D75+D77</f>
        <v>557.5</v>
      </c>
      <c r="E73" s="11">
        <f t="shared" ref="E73:G73" si="7">E75+E77</f>
        <v>223.1</v>
      </c>
      <c r="F73" s="11">
        <f t="shared" si="7"/>
        <v>173</v>
      </c>
      <c r="G73" s="14">
        <f t="shared" si="7"/>
        <v>152</v>
      </c>
    </row>
    <row r="74" spans="1:7" s="9" customFormat="1" x14ac:dyDescent="0.25">
      <c r="A74" s="24"/>
      <c r="B74" s="103" t="s">
        <v>84</v>
      </c>
      <c r="C74" s="25"/>
      <c r="D74" s="25"/>
      <c r="E74" s="25"/>
      <c r="F74" s="25"/>
      <c r="G74" s="26"/>
    </row>
    <row r="75" spans="1:7" s="9" customFormat="1" x14ac:dyDescent="0.25">
      <c r="A75" s="12" t="s">
        <v>24</v>
      </c>
      <c r="B75" s="103" t="s">
        <v>85</v>
      </c>
      <c r="C75" s="13"/>
      <c r="D75" s="13"/>
      <c r="E75" s="13"/>
      <c r="F75" s="13"/>
      <c r="G75" s="14"/>
    </row>
    <row r="76" spans="1:7" s="9" customFormat="1" x14ac:dyDescent="0.25">
      <c r="A76" s="12" t="s">
        <v>16</v>
      </c>
      <c r="B76" s="103" t="s">
        <v>80</v>
      </c>
      <c r="C76" s="13"/>
      <c r="D76" s="13"/>
      <c r="E76" s="13"/>
      <c r="F76" s="13"/>
      <c r="G76" s="14"/>
    </row>
    <row r="77" spans="1:7" s="9" customFormat="1" ht="16.5" thickBot="1" x14ac:dyDescent="0.3">
      <c r="A77" s="19" t="s">
        <v>30</v>
      </c>
      <c r="B77" s="105" t="s">
        <v>81</v>
      </c>
      <c r="C77" s="20"/>
      <c r="D77" s="27">
        <f>'БДР сжатый и БДДС'!C56</f>
        <v>557.5</v>
      </c>
      <c r="E77" s="27">
        <f>'БДР сжатый и БДДС'!D56</f>
        <v>223.1</v>
      </c>
      <c r="F77" s="27">
        <f>'БДР сжатый и БДДС'!E56</f>
        <v>173</v>
      </c>
      <c r="G77" s="26">
        <f>'БДР сжатый и БДДС'!F56</f>
        <v>152</v>
      </c>
    </row>
    <row r="78" spans="1:7" s="9" customFormat="1" ht="16.5" thickBot="1" x14ac:dyDescent="0.3">
      <c r="A78" s="40" t="s">
        <v>86</v>
      </c>
      <c r="B78" s="111" t="s">
        <v>87</v>
      </c>
      <c r="C78" s="154"/>
      <c r="D78" s="154"/>
      <c r="E78" s="154"/>
      <c r="F78" s="154"/>
      <c r="G78" s="152"/>
    </row>
    <row r="79" spans="1:7" s="9" customFormat="1" x14ac:dyDescent="0.25">
      <c r="A79" s="10" t="s">
        <v>88</v>
      </c>
      <c r="B79" s="45" t="s">
        <v>89</v>
      </c>
      <c r="C79" s="11"/>
      <c r="D79" s="11"/>
      <c r="E79" s="11"/>
      <c r="F79" s="11"/>
      <c r="G79" s="32"/>
    </row>
    <row r="80" spans="1:7" s="9" customFormat="1" x14ac:dyDescent="0.25">
      <c r="A80" s="12" t="s">
        <v>24</v>
      </c>
      <c r="B80" s="103" t="s">
        <v>90</v>
      </c>
      <c r="C80" s="25"/>
      <c r="D80" s="25"/>
      <c r="E80" s="119"/>
      <c r="F80" s="119"/>
      <c r="G80" s="120"/>
    </row>
    <row r="81" spans="1:7" s="9" customFormat="1" ht="16.5" thickBot="1" x14ac:dyDescent="0.3">
      <c r="A81" s="19" t="s">
        <v>30</v>
      </c>
      <c r="B81" s="105" t="s">
        <v>91</v>
      </c>
      <c r="C81" s="27"/>
      <c r="D81" s="27"/>
      <c r="E81" s="121"/>
      <c r="F81" s="121"/>
      <c r="G81" s="122"/>
    </row>
    <row r="82" spans="1:7" s="9" customFormat="1" ht="16.5" thickBot="1" x14ac:dyDescent="0.3">
      <c r="A82" s="33" t="s">
        <v>92</v>
      </c>
      <c r="B82" s="44" t="s">
        <v>93</v>
      </c>
      <c r="C82" s="41"/>
      <c r="D82" s="41"/>
      <c r="E82" s="125"/>
      <c r="F82" s="125"/>
      <c r="G82" s="126"/>
    </row>
    <row r="83" spans="1:7" s="9" customFormat="1" x14ac:dyDescent="0.25">
      <c r="A83" s="22" t="s">
        <v>94</v>
      </c>
      <c r="B83" s="106" t="s">
        <v>95</v>
      </c>
      <c r="C83" s="23">
        <f>C35</f>
        <v>129.04828000000001</v>
      </c>
      <c r="D83" s="23">
        <f>D35</f>
        <v>153.92084</v>
      </c>
      <c r="E83" s="23">
        <f>E35</f>
        <v>177.64</v>
      </c>
      <c r="F83" s="23">
        <f>F35</f>
        <v>151.43100000000001</v>
      </c>
      <c r="G83" s="114">
        <f>G35</f>
        <v>152.89099999999999</v>
      </c>
    </row>
    <row r="84" spans="1:7" s="9" customFormat="1" ht="16.5" thickBot="1" x14ac:dyDescent="0.3">
      <c r="A84" s="43"/>
      <c r="B84" s="112" t="s">
        <v>80</v>
      </c>
      <c r="C84" s="17"/>
      <c r="D84" s="17"/>
      <c r="E84" s="17"/>
      <c r="F84" s="17"/>
      <c r="G84" s="18"/>
    </row>
    <row r="85" spans="1:7" s="9" customFormat="1" ht="48" thickBot="1" x14ac:dyDescent="0.3">
      <c r="A85" s="33" t="s">
        <v>94</v>
      </c>
      <c r="B85" s="44" t="s">
        <v>96</v>
      </c>
      <c r="C85" s="41">
        <f>C21+C44+C62+C65+C68+C78+C81+C82</f>
        <v>997.78134999999997</v>
      </c>
      <c r="D85" s="41">
        <f>D21+D44+D62+D65+D68+D78+D81+D82</f>
        <v>2690.6990000000001</v>
      </c>
      <c r="E85" s="41">
        <f>E21+E44+E62+E65+E68+E78+E81+E82</f>
        <v>2124.0678400000002</v>
      </c>
      <c r="F85" s="41">
        <f>F21+F44+F62+F65+F68+F78+F81+F82</f>
        <v>2023.9262240000003</v>
      </c>
      <c r="G85" s="42">
        <f>G21+G44+G62+G65+G68+G78+G81+G82</f>
        <v>2153.0204228498005</v>
      </c>
    </row>
    <row r="86" spans="1:7" s="9" customFormat="1" ht="47.25" x14ac:dyDescent="0.25">
      <c r="A86" s="10" t="s">
        <v>97</v>
      </c>
      <c r="B86" s="45" t="s">
        <v>98</v>
      </c>
      <c r="C86" s="38">
        <f>C27-C35+C48+C61+C66+C52+C54+C73+C80+C83</f>
        <v>995.95835</v>
      </c>
      <c r="D86" s="38">
        <f>D27-D35+D48+D61+D66+D52+D54+D73+D80+D83</f>
        <v>2552.3752599999998</v>
      </c>
      <c r="E86" s="38">
        <f>E27-E35+E48+E61+E66+E52+E54+E73+E80+E83</f>
        <v>2080.4078399999999</v>
      </c>
      <c r="F86" s="38">
        <f>F27-F35+F48+F61+F66+F52+F54+F73+F80+F83</f>
        <v>2029.8762237000001</v>
      </c>
      <c r="G86" s="39">
        <f>G27-G35+G48+G61+G66+G52+G54+G73+G80+G83</f>
        <v>2154.7504201076999</v>
      </c>
    </row>
    <row r="87" spans="1:7" s="9" customFormat="1" ht="32.25" thickBot="1" x14ac:dyDescent="0.3">
      <c r="A87" s="46"/>
      <c r="B87" s="113" t="s">
        <v>99</v>
      </c>
      <c r="C87" s="20">
        <f>C85-C86</f>
        <v>1.8229999999999791</v>
      </c>
      <c r="D87" s="20">
        <f>D85-D86</f>
        <v>138.32374000000027</v>
      </c>
      <c r="E87" s="20">
        <f>E85-E86</f>
        <v>43.660000000000309</v>
      </c>
      <c r="F87" s="20">
        <f>F85-F86</f>
        <v>-5.9499996999998075</v>
      </c>
      <c r="G87" s="21">
        <f>G85-G86</f>
        <v>-1.7299972578994129</v>
      </c>
    </row>
    <row r="88" spans="1:7" s="9" customFormat="1" ht="16.5" thickBot="1" x14ac:dyDescent="0.3">
      <c r="A88" s="47"/>
      <c r="B88" s="48"/>
      <c r="C88" s="48"/>
      <c r="D88" s="127"/>
      <c r="E88" s="127"/>
      <c r="F88" s="127"/>
      <c r="G88" s="128"/>
    </row>
    <row r="89" spans="1:7" s="9" customFormat="1" x14ac:dyDescent="0.25">
      <c r="A89" s="49"/>
      <c r="B89" s="45" t="s">
        <v>100</v>
      </c>
      <c r="C89" s="45"/>
      <c r="D89" s="123"/>
      <c r="E89" s="123"/>
      <c r="F89" s="123"/>
      <c r="G89" s="124"/>
    </row>
    <row r="90" spans="1:7" s="9" customFormat="1" x14ac:dyDescent="0.25">
      <c r="A90" s="12" t="s">
        <v>24</v>
      </c>
      <c r="B90" s="103" t="s">
        <v>101</v>
      </c>
      <c r="C90" s="25">
        <f>C42+C35+C50</f>
        <v>173.72823999999994</v>
      </c>
      <c r="D90" s="25">
        <f>D42+D35+D50</f>
        <v>86.971959999999854</v>
      </c>
      <c r="E90" s="25">
        <f t="shared" ref="E90:G90" si="8">E42+E35+E50</f>
        <v>296.93978000000016</v>
      </c>
      <c r="F90" s="25">
        <f t="shared" si="8"/>
        <v>295.26659230000001</v>
      </c>
      <c r="G90" s="26">
        <f t="shared" si="8"/>
        <v>297.30479474210017</v>
      </c>
    </row>
    <row r="91" spans="1:7" s="9" customFormat="1" x14ac:dyDescent="0.25">
      <c r="A91" s="12" t="s">
        <v>30</v>
      </c>
      <c r="B91" s="103" t="s">
        <v>102</v>
      </c>
      <c r="C91" s="103"/>
      <c r="D91" s="119"/>
      <c r="E91" s="119"/>
      <c r="F91" s="119"/>
      <c r="G91" s="120"/>
    </row>
    <row r="92" spans="1:7" s="9" customFormat="1" ht="16.5" thickBot="1" x14ac:dyDescent="0.3">
      <c r="A92" s="19" t="s">
        <v>32</v>
      </c>
      <c r="B92" s="105" t="s">
        <v>103</v>
      </c>
      <c r="C92" s="105"/>
      <c r="D92" s="121"/>
      <c r="E92" s="121"/>
      <c r="F92" s="121"/>
      <c r="G92" s="122"/>
    </row>
    <row r="94" spans="1:7" x14ac:dyDescent="0.25">
      <c r="A94" s="1" t="s">
        <v>104</v>
      </c>
    </row>
    <row r="96" spans="1:7" x14ac:dyDescent="0.25">
      <c r="D96" s="134"/>
    </row>
  </sheetData>
  <mergeCells count="9">
    <mergeCell ref="G18:G19"/>
    <mergeCell ref="A6:E6"/>
    <mergeCell ref="E12:F12"/>
    <mergeCell ref="A17:A19"/>
    <mergeCell ref="B17:B19"/>
    <mergeCell ref="D18:D19"/>
    <mergeCell ref="E18:E19"/>
    <mergeCell ref="F18:F19"/>
    <mergeCell ref="C18:C19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34" zoomScale="80" zoomScaleNormal="80" workbookViewId="0">
      <selection activeCell="G67" sqref="G67"/>
    </sheetView>
  </sheetViews>
  <sheetFormatPr defaultRowHeight="15.75" x14ac:dyDescent="0.25"/>
  <cols>
    <col min="1" max="1" width="51.85546875" style="1" customWidth="1"/>
    <col min="2" max="2" width="12.85546875" style="1" customWidth="1"/>
    <col min="3" max="6" width="12.5703125" style="1" customWidth="1"/>
    <col min="7" max="7" width="14" style="1" customWidth="1"/>
    <col min="8" max="256" width="9.140625" style="1"/>
    <col min="257" max="257" width="51.85546875" style="1" customWidth="1"/>
    <col min="258" max="258" width="12.42578125" style="1" bestFit="1" customWidth="1"/>
    <col min="259" max="262" width="12.5703125" style="1" customWidth="1"/>
    <col min="263" max="263" width="14" style="1" customWidth="1"/>
    <col min="264" max="512" width="9.140625" style="1"/>
    <col min="513" max="513" width="51.85546875" style="1" customWidth="1"/>
    <col min="514" max="514" width="12.42578125" style="1" bestFit="1" customWidth="1"/>
    <col min="515" max="518" width="12.5703125" style="1" customWidth="1"/>
    <col min="519" max="519" width="14" style="1" customWidth="1"/>
    <col min="520" max="768" width="9.140625" style="1"/>
    <col min="769" max="769" width="51.85546875" style="1" customWidth="1"/>
    <col min="770" max="770" width="12.42578125" style="1" bestFit="1" customWidth="1"/>
    <col min="771" max="774" width="12.5703125" style="1" customWidth="1"/>
    <col min="775" max="775" width="14" style="1" customWidth="1"/>
    <col min="776" max="1024" width="9.140625" style="1"/>
    <col min="1025" max="1025" width="51.85546875" style="1" customWidth="1"/>
    <col min="1026" max="1026" width="12.42578125" style="1" bestFit="1" customWidth="1"/>
    <col min="1027" max="1030" width="12.5703125" style="1" customWidth="1"/>
    <col min="1031" max="1031" width="14" style="1" customWidth="1"/>
    <col min="1032" max="1280" width="9.140625" style="1"/>
    <col min="1281" max="1281" width="51.85546875" style="1" customWidth="1"/>
    <col min="1282" max="1282" width="12.42578125" style="1" bestFit="1" customWidth="1"/>
    <col min="1283" max="1286" width="12.5703125" style="1" customWidth="1"/>
    <col min="1287" max="1287" width="14" style="1" customWidth="1"/>
    <col min="1288" max="1536" width="9.140625" style="1"/>
    <col min="1537" max="1537" width="51.85546875" style="1" customWidth="1"/>
    <col min="1538" max="1538" width="12.42578125" style="1" bestFit="1" customWidth="1"/>
    <col min="1539" max="1542" width="12.5703125" style="1" customWidth="1"/>
    <col min="1543" max="1543" width="14" style="1" customWidth="1"/>
    <col min="1544" max="1792" width="9.140625" style="1"/>
    <col min="1793" max="1793" width="51.85546875" style="1" customWidth="1"/>
    <col min="1794" max="1794" width="12.42578125" style="1" bestFit="1" customWidth="1"/>
    <col min="1795" max="1798" width="12.5703125" style="1" customWidth="1"/>
    <col min="1799" max="1799" width="14" style="1" customWidth="1"/>
    <col min="1800" max="2048" width="9.140625" style="1"/>
    <col min="2049" max="2049" width="51.85546875" style="1" customWidth="1"/>
    <col min="2050" max="2050" width="12.42578125" style="1" bestFit="1" customWidth="1"/>
    <col min="2051" max="2054" width="12.5703125" style="1" customWidth="1"/>
    <col min="2055" max="2055" width="14" style="1" customWidth="1"/>
    <col min="2056" max="2304" width="9.140625" style="1"/>
    <col min="2305" max="2305" width="51.85546875" style="1" customWidth="1"/>
    <col min="2306" max="2306" width="12.42578125" style="1" bestFit="1" customWidth="1"/>
    <col min="2307" max="2310" width="12.5703125" style="1" customWidth="1"/>
    <col min="2311" max="2311" width="14" style="1" customWidth="1"/>
    <col min="2312" max="2560" width="9.140625" style="1"/>
    <col min="2561" max="2561" width="51.85546875" style="1" customWidth="1"/>
    <col min="2562" max="2562" width="12.42578125" style="1" bestFit="1" customWidth="1"/>
    <col min="2563" max="2566" width="12.5703125" style="1" customWidth="1"/>
    <col min="2567" max="2567" width="14" style="1" customWidth="1"/>
    <col min="2568" max="2816" width="9.140625" style="1"/>
    <col min="2817" max="2817" width="51.85546875" style="1" customWidth="1"/>
    <col min="2818" max="2818" width="12.42578125" style="1" bestFit="1" customWidth="1"/>
    <col min="2819" max="2822" width="12.5703125" style="1" customWidth="1"/>
    <col min="2823" max="2823" width="14" style="1" customWidth="1"/>
    <col min="2824" max="3072" width="9.140625" style="1"/>
    <col min="3073" max="3073" width="51.85546875" style="1" customWidth="1"/>
    <col min="3074" max="3074" width="12.42578125" style="1" bestFit="1" customWidth="1"/>
    <col min="3075" max="3078" width="12.5703125" style="1" customWidth="1"/>
    <col min="3079" max="3079" width="14" style="1" customWidth="1"/>
    <col min="3080" max="3328" width="9.140625" style="1"/>
    <col min="3329" max="3329" width="51.85546875" style="1" customWidth="1"/>
    <col min="3330" max="3330" width="12.42578125" style="1" bestFit="1" customWidth="1"/>
    <col min="3331" max="3334" width="12.5703125" style="1" customWidth="1"/>
    <col min="3335" max="3335" width="14" style="1" customWidth="1"/>
    <col min="3336" max="3584" width="9.140625" style="1"/>
    <col min="3585" max="3585" width="51.85546875" style="1" customWidth="1"/>
    <col min="3586" max="3586" width="12.42578125" style="1" bestFit="1" customWidth="1"/>
    <col min="3587" max="3590" width="12.5703125" style="1" customWidth="1"/>
    <col min="3591" max="3591" width="14" style="1" customWidth="1"/>
    <col min="3592" max="3840" width="9.140625" style="1"/>
    <col min="3841" max="3841" width="51.85546875" style="1" customWidth="1"/>
    <col min="3842" max="3842" width="12.42578125" style="1" bestFit="1" customWidth="1"/>
    <col min="3843" max="3846" width="12.5703125" style="1" customWidth="1"/>
    <col min="3847" max="3847" width="14" style="1" customWidth="1"/>
    <col min="3848" max="4096" width="9.140625" style="1"/>
    <col min="4097" max="4097" width="51.85546875" style="1" customWidth="1"/>
    <col min="4098" max="4098" width="12.42578125" style="1" bestFit="1" customWidth="1"/>
    <col min="4099" max="4102" width="12.5703125" style="1" customWidth="1"/>
    <col min="4103" max="4103" width="14" style="1" customWidth="1"/>
    <col min="4104" max="4352" width="9.140625" style="1"/>
    <col min="4353" max="4353" width="51.85546875" style="1" customWidth="1"/>
    <col min="4354" max="4354" width="12.42578125" style="1" bestFit="1" customWidth="1"/>
    <col min="4355" max="4358" width="12.5703125" style="1" customWidth="1"/>
    <col min="4359" max="4359" width="14" style="1" customWidth="1"/>
    <col min="4360" max="4608" width="9.140625" style="1"/>
    <col min="4609" max="4609" width="51.85546875" style="1" customWidth="1"/>
    <col min="4610" max="4610" width="12.42578125" style="1" bestFit="1" customWidth="1"/>
    <col min="4611" max="4614" width="12.5703125" style="1" customWidth="1"/>
    <col min="4615" max="4615" width="14" style="1" customWidth="1"/>
    <col min="4616" max="4864" width="9.140625" style="1"/>
    <col min="4865" max="4865" width="51.85546875" style="1" customWidth="1"/>
    <col min="4866" max="4866" width="12.42578125" style="1" bestFit="1" customWidth="1"/>
    <col min="4867" max="4870" width="12.5703125" style="1" customWidth="1"/>
    <col min="4871" max="4871" width="14" style="1" customWidth="1"/>
    <col min="4872" max="5120" width="9.140625" style="1"/>
    <col min="5121" max="5121" width="51.85546875" style="1" customWidth="1"/>
    <col min="5122" max="5122" width="12.42578125" style="1" bestFit="1" customWidth="1"/>
    <col min="5123" max="5126" width="12.5703125" style="1" customWidth="1"/>
    <col min="5127" max="5127" width="14" style="1" customWidth="1"/>
    <col min="5128" max="5376" width="9.140625" style="1"/>
    <col min="5377" max="5377" width="51.85546875" style="1" customWidth="1"/>
    <col min="5378" max="5378" width="12.42578125" style="1" bestFit="1" customWidth="1"/>
    <col min="5379" max="5382" width="12.5703125" style="1" customWidth="1"/>
    <col min="5383" max="5383" width="14" style="1" customWidth="1"/>
    <col min="5384" max="5632" width="9.140625" style="1"/>
    <col min="5633" max="5633" width="51.85546875" style="1" customWidth="1"/>
    <col min="5634" max="5634" width="12.42578125" style="1" bestFit="1" customWidth="1"/>
    <col min="5635" max="5638" width="12.5703125" style="1" customWidth="1"/>
    <col min="5639" max="5639" width="14" style="1" customWidth="1"/>
    <col min="5640" max="5888" width="9.140625" style="1"/>
    <col min="5889" max="5889" width="51.85546875" style="1" customWidth="1"/>
    <col min="5890" max="5890" width="12.42578125" style="1" bestFit="1" customWidth="1"/>
    <col min="5891" max="5894" width="12.5703125" style="1" customWidth="1"/>
    <col min="5895" max="5895" width="14" style="1" customWidth="1"/>
    <col min="5896" max="6144" width="9.140625" style="1"/>
    <col min="6145" max="6145" width="51.85546875" style="1" customWidth="1"/>
    <col min="6146" max="6146" width="12.42578125" style="1" bestFit="1" customWidth="1"/>
    <col min="6147" max="6150" width="12.5703125" style="1" customWidth="1"/>
    <col min="6151" max="6151" width="14" style="1" customWidth="1"/>
    <col min="6152" max="6400" width="9.140625" style="1"/>
    <col min="6401" max="6401" width="51.85546875" style="1" customWidth="1"/>
    <col min="6402" max="6402" width="12.42578125" style="1" bestFit="1" customWidth="1"/>
    <col min="6403" max="6406" width="12.5703125" style="1" customWidth="1"/>
    <col min="6407" max="6407" width="14" style="1" customWidth="1"/>
    <col min="6408" max="6656" width="9.140625" style="1"/>
    <col min="6657" max="6657" width="51.85546875" style="1" customWidth="1"/>
    <col min="6658" max="6658" width="12.42578125" style="1" bestFit="1" customWidth="1"/>
    <col min="6659" max="6662" width="12.5703125" style="1" customWidth="1"/>
    <col min="6663" max="6663" width="14" style="1" customWidth="1"/>
    <col min="6664" max="6912" width="9.140625" style="1"/>
    <col min="6913" max="6913" width="51.85546875" style="1" customWidth="1"/>
    <col min="6914" max="6914" width="12.42578125" style="1" bestFit="1" customWidth="1"/>
    <col min="6915" max="6918" width="12.5703125" style="1" customWidth="1"/>
    <col min="6919" max="6919" width="14" style="1" customWidth="1"/>
    <col min="6920" max="7168" width="9.140625" style="1"/>
    <col min="7169" max="7169" width="51.85546875" style="1" customWidth="1"/>
    <col min="7170" max="7170" width="12.42578125" style="1" bestFit="1" customWidth="1"/>
    <col min="7171" max="7174" width="12.5703125" style="1" customWidth="1"/>
    <col min="7175" max="7175" width="14" style="1" customWidth="1"/>
    <col min="7176" max="7424" width="9.140625" style="1"/>
    <col min="7425" max="7425" width="51.85546875" style="1" customWidth="1"/>
    <col min="7426" max="7426" width="12.42578125" style="1" bestFit="1" customWidth="1"/>
    <col min="7427" max="7430" width="12.5703125" style="1" customWidth="1"/>
    <col min="7431" max="7431" width="14" style="1" customWidth="1"/>
    <col min="7432" max="7680" width="9.140625" style="1"/>
    <col min="7681" max="7681" width="51.85546875" style="1" customWidth="1"/>
    <col min="7682" max="7682" width="12.42578125" style="1" bestFit="1" customWidth="1"/>
    <col min="7683" max="7686" width="12.5703125" style="1" customWidth="1"/>
    <col min="7687" max="7687" width="14" style="1" customWidth="1"/>
    <col min="7688" max="7936" width="9.140625" style="1"/>
    <col min="7937" max="7937" width="51.85546875" style="1" customWidth="1"/>
    <col min="7938" max="7938" width="12.42578125" style="1" bestFit="1" customWidth="1"/>
    <col min="7939" max="7942" width="12.5703125" style="1" customWidth="1"/>
    <col min="7943" max="7943" width="14" style="1" customWidth="1"/>
    <col min="7944" max="8192" width="9.140625" style="1"/>
    <col min="8193" max="8193" width="51.85546875" style="1" customWidth="1"/>
    <col min="8194" max="8194" width="12.42578125" style="1" bestFit="1" customWidth="1"/>
    <col min="8195" max="8198" width="12.5703125" style="1" customWidth="1"/>
    <col min="8199" max="8199" width="14" style="1" customWidth="1"/>
    <col min="8200" max="8448" width="9.140625" style="1"/>
    <col min="8449" max="8449" width="51.85546875" style="1" customWidth="1"/>
    <col min="8450" max="8450" width="12.42578125" style="1" bestFit="1" customWidth="1"/>
    <col min="8451" max="8454" width="12.5703125" style="1" customWidth="1"/>
    <col min="8455" max="8455" width="14" style="1" customWidth="1"/>
    <col min="8456" max="8704" width="9.140625" style="1"/>
    <col min="8705" max="8705" width="51.85546875" style="1" customWidth="1"/>
    <col min="8706" max="8706" width="12.42578125" style="1" bestFit="1" customWidth="1"/>
    <col min="8707" max="8710" width="12.5703125" style="1" customWidth="1"/>
    <col min="8711" max="8711" width="14" style="1" customWidth="1"/>
    <col min="8712" max="8960" width="9.140625" style="1"/>
    <col min="8961" max="8961" width="51.85546875" style="1" customWidth="1"/>
    <col min="8962" max="8962" width="12.42578125" style="1" bestFit="1" customWidth="1"/>
    <col min="8963" max="8966" width="12.5703125" style="1" customWidth="1"/>
    <col min="8967" max="8967" width="14" style="1" customWidth="1"/>
    <col min="8968" max="9216" width="9.140625" style="1"/>
    <col min="9217" max="9217" width="51.85546875" style="1" customWidth="1"/>
    <col min="9218" max="9218" width="12.42578125" style="1" bestFit="1" customWidth="1"/>
    <col min="9219" max="9222" width="12.5703125" style="1" customWidth="1"/>
    <col min="9223" max="9223" width="14" style="1" customWidth="1"/>
    <col min="9224" max="9472" width="9.140625" style="1"/>
    <col min="9473" max="9473" width="51.85546875" style="1" customWidth="1"/>
    <col min="9474" max="9474" width="12.42578125" style="1" bestFit="1" customWidth="1"/>
    <col min="9475" max="9478" width="12.5703125" style="1" customWidth="1"/>
    <col min="9479" max="9479" width="14" style="1" customWidth="1"/>
    <col min="9480" max="9728" width="9.140625" style="1"/>
    <col min="9729" max="9729" width="51.85546875" style="1" customWidth="1"/>
    <col min="9730" max="9730" width="12.42578125" style="1" bestFit="1" customWidth="1"/>
    <col min="9731" max="9734" width="12.5703125" style="1" customWidth="1"/>
    <col min="9735" max="9735" width="14" style="1" customWidth="1"/>
    <col min="9736" max="9984" width="9.140625" style="1"/>
    <col min="9985" max="9985" width="51.85546875" style="1" customWidth="1"/>
    <col min="9986" max="9986" width="12.42578125" style="1" bestFit="1" customWidth="1"/>
    <col min="9987" max="9990" width="12.5703125" style="1" customWidth="1"/>
    <col min="9991" max="9991" width="14" style="1" customWidth="1"/>
    <col min="9992" max="10240" width="9.140625" style="1"/>
    <col min="10241" max="10241" width="51.85546875" style="1" customWidth="1"/>
    <col min="10242" max="10242" width="12.42578125" style="1" bestFit="1" customWidth="1"/>
    <col min="10243" max="10246" width="12.5703125" style="1" customWidth="1"/>
    <col min="10247" max="10247" width="14" style="1" customWidth="1"/>
    <col min="10248" max="10496" width="9.140625" style="1"/>
    <col min="10497" max="10497" width="51.85546875" style="1" customWidth="1"/>
    <col min="10498" max="10498" width="12.42578125" style="1" bestFit="1" customWidth="1"/>
    <col min="10499" max="10502" width="12.5703125" style="1" customWidth="1"/>
    <col min="10503" max="10503" width="14" style="1" customWidth="1"/>
    <col min="10504" max="10752" width="9.140625" style="1"/>
    <col min="10753" max="10753" width="51.85546875" style="1" customWidth="1"/>
    <col min="10754" max="10754" width="12.42578125" style="1" bestFit="1" customWidth="1"/>
    <col min="10755" max="10758" width="12.5703125" style="1" customWidth="1"/>
    <col min="10759" max="10759" width="14" style="1" customWidth="1"/>
    <col min="10760" max="11008" width="9.140625" style="1"/>
    <col min="11009" max="11009" width="51.85546875" style="1" customWidth="1"/>
    <col min="11010" max="11010" width="12.42578125" style="1" bestFit="1" customWidth="1"/>
    <col min="11011" max="11014" width="12.5703125" style="1" customWidth="1"/>
    <col min="11015" max="11015" width="14" style="1" customWidth="1"/>
    <col min="11016" max="11264" width="9.140625" style="1"/>
    <col min="11265" max="11265" width="51.85546875" style="1" customWidth="1"/>
    <col min="11266" max="11266" width="12.42578125" style="1" bestFit="1" customWidth="1"/>
    <col min="11267" max="11270" width="12.5703125" style="1" customWidth="1"/>
    <col min="11271" max="11271" width="14" style="1" customWidth="1"/>
    <col min="11272" max="11520" width="9.140625" style="1"/>
    <col min="11521" max="11521" width="51.85546875" style="1" customWidth="1"/>
    <col min="11522" max="11522" width="12.42578125" style="1" bestFit="1" customWidth="1"/>
    <col min="11523" max="11526" width="12.5703125" style="1" customWidth="1"/>
    <col min="11527" max="11527" width="14" style="1" customWidth="1"/>
    <col min="11528" max="11776" width="9.140625" style="1"/>
    <col min="11777" max="11777" width="51.85546875" style="1" customWidth="1"/>
    <col min="11778" max="11778" width="12.42578125" style="1" bestFit="1" customWidth="1"/>
    <col min="11779" max="11782" width="12.5703125" style="1" customWidth="1"/>
    <col min="11783" max="11783" width="14" style="1" customWidth="1"/>
    <col min="11784" max="12032" width="9.140625" style="1"/>
    <col min="12033" max="12033" width="51.85546875" style="1" customWidth="1"/>
    <col min="12034" max="12034" width="12.42578125" style="1" bestFit="1" customWidth="1"/>
    <col min="12035" max="12038" width="12.5703125" style="1" customWidth="1"/>
    <col min="12039" max="12039" width="14" style="1" customWidth="1"/>
    <col min="12040" max="12288" width="9.140625" style="1"/>
    <col min="12289" max="12289" width="51.85546875" style="1" customWidth="1"/>
    <col min="12290" max="12290" width="12.42578125" style="1" bestFit="1" customWidth="1"/>
    <col min="12291" max="12294" width="12.5703125" style="1" customWidth="1"/>
    <col min="12295" max="12295" width="14" style="1" customWidth="1"/>
    <col min="12296" max="12544" width="9.140625" style="1"/>
    <col min="12545" max="12545" width="51.85546875" style="1" customWidth="1"/>
    <col min="12546" max="12546" width="12.42578125" style="1" bestFit="1" customWidth="1"/>
    <col min="12547" max="12550" width="12.5703125" style="1" customWidth="1"/>
    <col min="12551" max="12551" width="14" style="1" customWidth="1"/>
    <col min="12552" max="12800" width="9.140625" style="1"/>
    <col min="12801" max="12801" width="51.85546875" style="1" customWidth="1"/>
    <col min="12802" max="12802" width="12.42578125" style="1" bestFit="1" customWidth="1"/>
    <col min="12803" max="12806" width="12.5703125" style="1" customWidth="1"/>
    <col min="12807" max="12807" width="14" style="1" customWidth="1"/>
    <col min="12808" max="13056" width="9.140625" style="1"/>
    <col min="13057" max="13057" width="51.85546875" style="1" customWidth="1"/>
    <col min="13058" max="13058" width="12.42578125" style="1" bestFit="1" customWidth="1"/>
    <col min="13059" max="13062" width="12.5703125" style="1" customWidth="1"/>
    <col min="13063" max="13063" width="14" style="1" customWidth="1"/>
    <col min="13064" max="13312" width="9.140625" style="1"/>
    <col min="13313" max="13313" width="51.85546875" style="1" customWidth="1"/>
    <col min="13314" max="13314" width="12.42578125" style="1" bestFit="1" customWidth="1"/>
    <col min="13315" max="13318" width="12.5703125" style="1" customWidth="1"/>
    <col min="13319" max="13319" width="14" style="1" customWidth="1"/>
    <col min="13320" max="13568" width="9.140625" style="1"/>
    <col min="13569" max="13569" width="51.85546875" style="1" customWidth="1"/>
    <col min="13570" max="13570" width="12.42578125" style="1" bestFit="1" customWidth="1"/>
    <col min="13571" max="13574" width="12.5703125" style="1" customWidth="1"/>
    <col min="13575" max="13575" width="14" style="1" customWidth="1"/>
    <col min="13576" max="13824" width="9.140625" style="1"/>
    <col min="13825" max="13825" width="51.85546875" style="1" customWidth="1"/>
    <col min="13826" max="13826" width="12.42578125" style="1" bestFit="1" customWidth="1"/>
    <col min="13827" max="13830" width="12.5703125" style="1" customWidth="1"/>
    <col min="13831" max="13831" width="14" style="1" customWidth="1"/>
    <col min="13832" max="14080" width="9.140625" style="1"/>
    <col min="14081" max="14081" width="51.85546875" style="1" customWidth="1"/>
    <col min="14082" max="14082" width="12.42578125" style="1" bestFit="1" customWidth="1"/>
    <col min="14083" max="14086" width="12.5703125" style="1" customWidth="1"/>
    <col min="14087" max="14087" width="14" style="1" customWidth="1"/>
    <col min="14088" max="14336" width="9.140625" style="1"/>
    <col min="14337" max="14337" width="51.85546875" style="1" customWidth="1"/>
    <col min="14338" max="14338" width="12.42578125" style="1" bestFit="1" customWidth="1"/>
    <col min="14339" max="14342" width="12.5703125" style="1" customWidth="1"/>
    <col min="14343" max="14343" width="14" style="1" customWidth="1"/>
    <col min="14344" max="14592" width="9.140625" style="1"/>
    <col min="14593" max="14593" width="51.85546875" style="1" customWidth="1"/>
    <col min="14594" max="14594" width="12.42578125" style="1" bestFit="1" customWidth="1"/>
    <col min="14595" max="14598" width="12.5703125" style="1" customWidth="1"/>
    <col min="14599" max="14599" width="14" style="1" customWidth="1"/>
    <col min="14600" max="14848" width="9.140625" style="1"/>
    <col min="14849" max="14849" width="51.85546875" style="1" customWidth="1"/>
    <col min="14850" max="14850" width="12.42578125" style="1" bestFit="1" customWidth="1"/>
    <col min="14851" max="14854" width="12.5703125" style="1" customWidth="1"/>
    <col min="14855" max="14855" width="14" style="1" customWidth="1"/>
    <col min="14856" max="15104" width="9.140625" style="1"/>
    <col min="15105" max="15105" width="51.85546875" style="1" customWidth="1"/>
    <col min="15106" max="15106" width="12.42578125" style="1" bestFit="1" customWidth="1"/>
    <col min="15107" max="15110" width="12.5703125" style="1" customWidth="1"/>
    <col min="15111" max="15111" width="14" style="1" customWidth="1"/>
    <col min="15112" max="15360" width="9.140625" style="1"/>
    <col min="15361" max="15361" width="51.85546875" style="1" customWidth="1"/>
    <col min="15362" max="15362" width="12.42578125" style="1" bestFit="1" customWidth="1"/>
    <col min="15363" max="15366" width="12.5703125" style="1" customWidth="1"/>
    <col min="15367" max="15367" width="14" style="1" customWidth="1"/>
    <col min="15368" max="15616" width="9.140625" style="1"/>
    <col min="15617" max="15617" width="51.85546875" style="1" customWidth="1"/>
    <col min="15618" max="15618" width="12.42578125" style="1" bestFit="1" customWidth="1"/>
    <col min="15619" max="15622" width="12.5703125" style="1" customWidth="1"/>
    <col min="15623" max="15623" width="14" style="1" customWidth="1"/>
    <col min="15624" max="15872" width="9.140625" style="1"/>
    <col min="15873" max="15873" width="51.85546875" style="1" customWidth="1"/>
    <col min="15874" max="15874" width="12.42578125" style="1" bestFit="1" customWidth="1"/>
    <col min="15875" max="15878" width="12.5703125" style="1" customWidth="1"/>
    <col min="15879" max="15879" width="14" style="1" customWidth="1"/>
    <col min="15880" max="16128" width="9.140625" style="1"/>
    <col min="16129" max="16129" width="51.85546875" style="1" customWidth="1"/>
    <col min="16130" max="16130" width="12.42578125" style="1" bestFit="1" customWidth="1"/>
    <col min="16131" max="16134" width="12.5703125" style="1" customWidth="1"/>
    <col min="16135" max="16135" width="14" style="1" customWidth="1"/>
    <col min="16136" max="16384" width="9.140625" style="1"/>
  </cols>
  <sheetData>
    <row r="1" spans="1:7" ht="16.5" customHeight="1" x14ac:dyDescent="0.25">
      <c r="G1" s="2" t="s">
        <v>105</v>
      </c>
    </row>
    <row r="2" spans="1:7" ht="16.5" customHeight="1" x14ac:dyDescent="0.25">
      <c r="G2" s="2" t="s">
        <v>1</v>
      </c>
    </row>
    <row r="3" spans="1:7" ht="16.5" customHeight="1" x14ac:dyDescent="0.25">
      <c r="G3" s="2" t="s">
        <v>106</v>
      </c>
    </row>
    <row r="4" spans="1:7" ht="16.5" customHeight="1" x14ac:dyDescent="0.25">
      <c r="G4" s="2"/>
    </row>
    <row r="5" spans="1:7" ht="48.75" customHeight="1" x14ac:dyDescent="0.25">
      <c r="A5" s="164" t="s">
        <v>205</v>
      </c>
      <c r="B5" s="164"/>
      <c r="C5" s="164"/>
      <c r="D5" s="165"/>
      <c r="E5" s="165"/>
      <c r="F5" s="165"/>
      <c r="G5" s="165"/>
    </row>
    <row r="6" spans="1:7" ht="16.5" customHeight="1" x14ac:dyDescent="0.25">
      <c r="A6" s="50"/>
      <c r="B6" s="151"/>
      <c r="C6" s="50"/>
      <c r="D6" s="51"/>
      <c r="E6" s="51"/>
      <c r="F6" s="51"/>
      <c r="G6" s="51"/>
    </row>
    <row r="7" spans="1:7" ht="16.5" customHeight="1" x14ac:dyDescent="0.25">
      <c r="A7" s="50"/>
      <c r="B7" s="151"/>
      <c r="C7" s="50"/>
      <c r="D7" s="51"/>
      <c r="E7" s="51"/>
      <c r="F7" s="51"/>
      <c r="G7" s="2" t="s">
        <v>4</v>
      </c>
    </row>
    <row r="8" spans="1:7" ht="16.5" customHeight="1" x14ac:dyDescent="0.25">
      <c r="A8" s="50"/>
      <c r="B8" s="151"/>
      <c r="C8" s="50"/>
      <c r="D8" s="51"/>
      <c r="E8" s="1" t="s">
        <v>107</v>
      </c>
      <c r="F8" s="51"/>
      <c r="G8" s="2"/>
    </row>
    <row r="9" spans="1:7" ht="16.5" customHeight="1" x14ac:dyDescent="0.25">
      <c r="A9" s="50"/>
      <c r="B9" s="151"/>
      <c r="C9" s="50"/>
      <c r="D9" s="51"/>
      <c r="E9" s="51"/>
      <c r="F9" s="51"/>
      <c r="G9" s="2"/>
    </row>
    <row r="10" spans="1:7" ht="16.5" customHeight="1" x14ac:dyDescent="0.25">
      <c r="A10" s="50"/>
      <c r="B10" s="151"/>
      <c r="C10" s="50"/>
      <c r="D10" s="51"/>
      <c r="E10" s="1" t="s">
        <v>108</v>
      </c>
      <c r="F10" s="51"/>
      <c r="G10" s="52"/>
    </row>
    <row r="11" spans="1:7" ht="16.5" customHeight="1" x14ac:dyDescent="0.25">
      <c r="A11" s="50"/>
      <c r="B11" s="151"/>
      <c r="C11" s="50"/>
      <c r="D11" s="51"/>
      <c r="E11" s="51"/>
      <c r="F11" s="51"/>
      <c r="G11" s="2" t="s">
        <v>109</v>
      </c>
    </row>
    <row r="12" spans="1:7" ht="16.5" customHeight="1" x14ac:dyDescent="0.25">
      <c r="A12" s="50"/>
      <c r="B12" s="151"/>
      <c r="C12" s="50"/>
      <c r="D12" s="51"/>
      <c r="E12" s="51"/>
      <c r="F12" s="51"/>
      <c r="G12" s="2" t="s">
        <v>8</v>
      </c>
    </row>
    <row r="14" spans="1:7" x14ac:dyDescent="0.25">
      <c r="A14" s="36"/>
      <c r="B14" s="53">
        <v>2015</v>
      </c>
      <c r="C14" s="53">
        <v>2016</v>
      </c>
      <c r="D14" s="135">
        <f>C14+1</f>
        <v>2017</v>
      </c>
      <c r="E14" s="135">
        <f>D14+1</f>
        <v>2018</v>
      </c>
      <c r="F14" s="135">
        <f>E14+1</f>
        <v>2019</v>
      </c>
      <c r="G14" s="135" t="s">
        <v>110</v>
      </c>
    </row>
    <row r="15" spans="1:7" s="56" customFormat="1" x14ac:dyDescent="0.25">
      <c r="A15" s="54" t="s">
        <v>111</v>
      </c>
      <c r="B15" s="55">
        <f>SUM(B16:B18)</f>
        <v>997.78134999999997</v>
      </c>
      <c r="C15" s="55">
        <f>SUM(C16:C18)</f>
        <v>1703.6379999999999</v>
      </c>
      <c r="D15" s="136">
        <f>SUM(D16:D18)</f>
        <v>1717.0578400000002</v>
      </c>
      <c r="E15" s="136">
        <f>SUM(E16:E18)</f>
        <v>1848.0262240000002</v>
      </c>
      <c r="F15" s="136">
        <f>SUM(F16:F18)</f>
        <v>1991.1204228498004</v>
      </c>
      <c r="G15" s="136">
        <f>SUM(G16:G18)</f>
        <v>8257.6238368497998</v>
      </c>
    </row>
    <row r="16" spans="1:7" x14ac:dyDescent="0.25">
      <c r="A16" s="57" t="str">
        <f>'[1]приложение 4.1 (3)'!B24</f>
        <v>в т.ч. услуги по передаче</v>
      </c>
      <c r="B16" s="58">
        <f>'[2]приложение 4.1 (2)'!C24</f>
        <v>483.28682900000001</v>
      </c>
      <c r="C16" s="58">
        <f>'БДР подробный'!D24</f>
        <v>1527.0047399999999</v>
      </c>
      <c r="D16" s="58">
        <f>'БДР подробный'!E24</f>
        <v>1671.324214</v>
      </c>
      <c r="E16" s="58">
        <f>'БДР подробный'!F24</f>
        <v>1801.0357654000002</v>
      </c>
      <c r="F16" s="58">
        <f>'БДР подробный'!G24</f>
        <v>1943.3400075700004</v>
      </c>
      <c r="G16" s="137">
        <f>SUM(B16:F16)</f>
        <v>7425.9915559700003</v>
      </c>
    </row>
    <row r="17" spans="1:7" x14ac:dyDescent="0.25">
      <c r="A17" s="57" t="str">
        <f>'[1]приложение 4.1 (3)'!B25</f>
        <v>ТП до 15 кВ</v>
      </c>
      <c r="B17" s="58">
        <f>'[2]приложение 4.1 (2)'!C25</f>
        <v>16.238520999999999</v>
      </c>
      <c r="C17" s="58">
        <f>'БДР подробный'!D25</f>
        <v>16.603259999999999</v>
      </c>
      <c r="D17" s="58">
        <f>'БДР подробный'!E25</f>
        <v>37.033999999999999</v>
      </c>
      <c r="E17" s="58">
        <f>'БДР подробный'!F25</f>
        <v>37.420870000000001</v>
      </c>
      <c r="F17" s="58">
        <f>'БДР подробный'!G25</f>
        <v>37.799334369999997</v>
      </c>
      <c r="G17" s="137">
        <f t="shared" ref="G17:G18" si="0">SUM(B17:F17)</f>
        <v>145.09598536999999</v>
      </c>
    </row>
    <row r="18" spans="1:7" x14ac:dyDescent="0.25">
      <c r="A18" s="57" t="s">
        <v>113</v>
      </c>
      <c r="B18" s="58">
        <f>11.752+478.912+7.592</f>
        <v>498.25599999999997</v>
      </c>
      <c r="C18" s="58">
        <f>'БДР подробный'!D26</f>
        <v>160.03</v>
      </c>
      <c r="D18" s="58">
        <f>'БДР подробный'!E26</f>
        <v>8.6996260000000003</v>
      </c>
      <c r="E18" s="58">
        <f>'БДР подробный'!F26</f>
        <v>9.5695886000000012</v>
      </c>
      <c r="F18" s="58">
        <f>'БДР подробный'!G26</f>
        <v>9.9810809098000011</v>
      </c>
      <c r="G18" s="137">
        <f t="shared" si="0"/>
        <v>686.53629550979986</v>
      </c>
    </row>
    <row r="19" spans="1:7" s="56" customFormat="1" x14ac:dyDescent="0.25">
      <c r="A19" s="54" t="s">
        <v>114</v>
      </c>
      <c r="B19" s="55"/>
      <c r="C19" s="55"/>
      <c r="D19" s="142"/>
      <c r="E19" s="142"/>
      <c r="F19" s="142"/>
      <c r="G19" s="136"/>
    </row>
    <row r="20" spans="1:7" x14ac:dyDescent="0.25">
      <c r="A20" s="59" t="s">
        <v>115</v>
      </c>
      <c r="B20" s="58">
        <f>B21+B22+B23</f>
        <v>953.10139000000004</v>
      </c>
      <c r="C20" s="58">
        <f>C21+C22+C23</f>
        <v>1770.5868800000001</v>
      </c>
      <c r="D20" s="58">
        <f t="shared" ref="D20:G20" si="1">D21+D22+D23</f>
        <v>1617.31106</v>
      </c>
      <c r="E20" s="58">
        <f t="shared" si="1"/>
        <v>1737.9626277000002</v>
      </c>
      <c r="F20" s="58">
        <f t="shared" si="1"/>
        <v>1881.5906241077003</v>
      </c>
      <c r="G20" s="137">
        <f t="shared" si="1"/>
        <v>7960.5525818077003</v>
      </c>
    </row>
    <row r="21" spans="1:7" x14ac:dyDescent="0.25">
      <c r="A21" s="57" t="s">
        <v>18</v>
      </c>
      <c r="B21" s="58">
        <v>454.74518899999998</v>
      </c>
      <c r="C21" s="58">
        <f>'БДР подробный'!D27-C22-C23</f>
        <v>1608.73188</v>
      </c>
      <c r="D21" s="58">
        <f>'БДР подробный'!E27-D22-D23</f>
        <v>1605.6074339999998</v>
      </c>
      <c r="E21" s="58">
        <f>'БДР подробный'!F27-E22-E23</f>
        <v>1725.6151722700001</v>
      </c>
      <c r="F21" s="58">
        <f>'БДР подробный'!G27-F22-F23</f>
        <v>1868.6139194507703</v>
      </c>
      <c r="G21" s="137">
        <f>SUM(B21:F21)</f>
        <v>7263.3135947207702</v>
      </c>
    </row>
    <row r="22" spans="1:7" x14ac:dyDescent="0.25">
      <c r="A22" s="57" t="s">
        <v>19</v>
      </c>
      <c r="B22" s="58">
        <v>6.6802010000000003</v>
      </c>
      <c r="C22" s="58">
        <v>2.891</v>
      </c>
      <c r="D22" s="138">
        <f>7.034</f>
        <v>7.0339999999999998</v>
      </c>
      <c r="E22" s="138">
        <v>7.4210000000000003</v>
      </c>
      <c r="F22" s="138">
        <v>7.7990000000000004</v>
      </c>
      <c r="G22" s="137">
        <f t="shared" ref="G22:G23" si="2">SUM(B22:F22)</f>
        <v>31.825201</v>
      </c>
    </row>
    <row r="23" spans="1:7" x14ac:dyDescent="0.25">
      <c r="A23" s="57" t="s">
        <v>113</v>
      </c>
      <c r="B23" s="58">
        <v>491.67599999999999</v>
      </c>
      <c r="C23" s="58">
        <f>2.085+2.729+0.373+0.729+147.001+2.716+1.921+0.826+0.584</f>
        <v>158.964</v>
      </c>
      <c r="D23" s="138">
        <v>4.6696260000000001</v>
      </c>
      <c r="E23" s="138">
        <f>D23*1.055</f>
        <v>4.9264554299999999</v>
      </c>
      <c r="F23" s="138">
        <f>E23*1.051</f>
        <v>5.1777046569299996</v>
      </c>
      <c r="G23" s="137">
        <f t="shared" si="2"/>
        <v>665.41378608693003</v>
      </c>
    </row>
    <row r="24" spans="1:7" x14ac:dyDescent="0.25">
      <c r="A24" s="59" t="s">
        <v>116</v>
      </c>
      <c r="B24" s="58"/>
      <c r="C24" s="58"/>
      <c r="D24" s="143"/>
      <c r="E24" s="143"/>
      <c r="F24" s="143"/>
      <c r="G24" s="137"/>
    </row>
    <row r="25" spans="1:7" s="56" customFormat="1" x14ac:dyDescent="0.25">
      <c r="A25" s="54" t="s">
        <v>117</v>
      </c>
      <c r="B25" s="55">
        <f>B15-B20</f>
        <v>44.679959999999937</v>
      </c>
      <c r="C25" s="55">
        <f>C15-C20</f>
        <v>-66.948880000000145</v>
      </c>
      <c r="D25" s="136">
        <f>D15-D20</f>
        <v>99.746780000000172</v>
      </c>
      <c r="E25" s="136">
        <f>E15-E20</f>
        <v>110.06359629999997</v>
      </c>
      <c r="F25" s="136">
        <f>F15-F20</f>
        <v>109.52979874210018</v>
      </c>
      <c r="G25" s="136">
        <f>SUM(B25:F25)</f>
        <v>297.07125504210012</v>
      </c>
    </row>
    <row r="26" spans="1:7" s="56" customFormat="1" x14ac:dyDescent="0.25">
      <c r="A26" s="54" t="s">
        <v>204</v>
      </c>
      <c r="B26" s="55">
        <v>0</v>
      </c>
      <c r="C26" s="55">
        <f>'БДР подробный'!D44</f>
        <v>1.9</v>
      </c>
      <c r="D26" s="136">
        <f>'БДР подробный'!E44</f>
        <v>1.9</v>
      </c>
      <c r="E26" s="136">
        <f>'БДР подробный'!F44</f>
        <v>1.9</v>
      </c>
      <c r="F26" s="136">
        <f>'БДР подробный'!G44</f>
        <v>1.9</v>
      </c>
      <c r="G26" s="136">
        <f>SUM(B26:F26)</f>
        <v>7.6</v>
      </c>
    </row>
    <row r="27" spans="1:7" s="56" customFormat="1" x14ac:dyDescent="0.25">
      <c r="A27" s="54" t="s">
        <v>118</v>
      </c>
      <c r="B27" s="55">
        <v>20.330590000000004</v>
      </c>
      <c r="C27" s="55">
        <f>'БДР подробный'!D48</f>
        <v>22.125009999999996</v>
      </c>
      <c r="D27" s="55">
        <f>'БДР подробный'!E48-D28</f>
        <v>41.72572000000001</v>
      </c>
      <c r="E27" s="55">
        <f>'БДР подробный'!F48-E28</f>
        <v>43.041599999999995</v>
      </c>
      <c r="F27" s="55">
        <f>'БДР подробный'!G48-F28</f>
        <v>43.275800000000004</v>
      </c>
      <c r="G27" s="136">
        <f>SUM(B27:F27)</f>
        <v>170.49872000000002</v>
      </c>
    </row>
    <row r="28" spans="1:7" s="56" customFormat="1" x14ac:dyDescent="0.25">
      <c r="A28" s="54" t="s">
        <v>119</v>
      </c>
      <c r="B28" s="55"/>
      <c r="C28" s="55"/>
      <c r="D28" s="136">
        <f>'БДР подробный'!E50</f>
        <v>19.553000000000001</v>
      </c>
      <c r="E28" s="136">
        <f>E45</f>
        <v>33.771995999999994</v>
      </c>
      <c r="F28" s="136">
        <f>F45</f>
        <v>34.883995999999996</v>
      </c>
      <c r="G28" s="136">
        <f>SUM(B28:F28)</f>
        <v>88.208991999999995</v>
      </c>
    </row>
    <row r="29" spans="1:7" s="56" customFormat="1" x14ac:dyDescent="0.25">
      <c r="A29" s="54" t="s">
        <v>58</v>
      </c>
      <c r="B29" s="55">
        <v>12.80437</v>
      </c>
      <c r="C29" s="55">
        <f>'БДР подробный'!D52</f>
        <v>9.2913700000000006</v>
      </c>
      <c r="D29" s="55">
        <f>'БДР подробный'!E52</f>
        <v>10.36806</v>
      </c>
      <c r="E29" s="55">
        <f>'БДР подробный'!F52</f>
        <v>12.1</v>
      </c>
      <c r="F29" s="55">
        <f>'БДР подробный'!G52</f>
        <v>13</v>
      </c>
      <c r="G29" s="136">
        <f>SUM(B29:F29)</f>
        <v>57.563800000000001</v>
      </c>
    </row>
    <row r="30" spans="1:7" s="56" customFormat="1" x14ac:dyDescent="0.25">
      <c r="A30" s="54" t="s">
        <v>120</v>
      </c>
      <c r="B30" s="55">
        <f t="shared" ref="B30:G30" si="3">B25-B27-B28-B29+B26</f>
        <v>11.544999999999932</v>
      </c>
      <c r="C30" s="55">
        <f t="shared" si="3"/>
        <v>-96.465260000000143</v>
      </c>
      <c r="D30" s="55">
        <f t="shared" si="3"/>
        <v>30.000000000000163</v>
      </c>
      <c r="E30" s="55">
        <f t="shared" si="3"/>
        <v>23.050000299999986</v>
      </c>
      <c r="F30" s="55">
        <f t="shared" si="3"/>
        <v>20.270002742100182</v>
      </c>
      <c r="G30" s="136">
        <f>G25-G27-G28-G29+G26</f>
        <v>-11.600256957899896</v>
      </c>
    </row>
    <row r="31" spans="1:7" s="56" customFormat="1" x14ac:dyDescent="0.25">
      <c r="A31" s="54" t="s">
        <v>121</v>
      </c>
      <c r="B31" s="136">
        <f>B30</f>
        <v>11.544999999999932</v>
      </c>
      <c r="C31" s="136">
        <f>C30</f>
        <v>-96.465260000000143</v>
      </c>
      <c r="D31" s="136">
        <f>D30</f>
        <v>30.000000000000163</v>
      </c>
      <c r="E31" s="136">
        <f>E30</f>
        <v>23.050000299999986</v>
      </c>
      <c r="F31" s="136">
        <f>F30</f>
        <v>20.270002742100182</v>
      </c>
      <c r="G31" s="136">
        <f>SUM(B31:F31)</f>
        <v>-11.60025695789988</v>
      </c>
    </row>
    <row r="32" spans="1:7" x14ac:dyDescent="0.25">
      <c r="A32" s="36"/>
      <c r="B32" s="55"/>
      <c r="C32" s="58"/>
      <c r="D32" s="143"/>
      <c r="E32" s="143"/>
      <c r="F32" s="143"/>
      <c r="G32" s="137"/>
    </row>
    <row r="33" spans="1:9" s="56" customFormat="1" x14ac:dyDescent="0.25">
      <c r="A33" s="54" t="s">
        <v>122</v>
      </c>
      <c r="B33" s="55"/>
      <c r="C33" s="55"/>
      <c r="D33" s="144"/>
      <c r="E33" s="144"/>
      <c r="F33" s="144"/>
      <c r="G33" s="136"/>
    </row>
    <row r="34" spans="1:9" s="56" customFormat="1" x14ac:dyDescent="0.25">
      <c r="A34" s="54" t="s">
        <v>123</v>
      </c>
      <c r="B34" s="55">
        <f t="shared" ref="B34" si="4">SUM(B35:B38)</f>
        <v>2142.498</v>
      </c>
      <c r="C34" s="55">
        <f>SUM(C35:C37)</f>
        <v>1956.183</v>
      </c>
      <c r="D34" s="136">
        <f>SUM(D35:D37)</f>
        <v>1952.877</v>
      </c>
      <c r="E34" s="136">
        <f>SUM(E35:E37)</f>
        <v>1953.075</v>
      </c>
      <c r="F34" s="136">
        <f>SUM(F35:F37)</f>
        <v>1953.2190000000001</v>
      </c>
      <c r="G34" s="136">
        <f>SUM(G35:G37)</f>
        <v>9381.1080000000002</v>
      </c>
    </row>
    <row r="35" spans="1:9" x14ac:dyDescent="0.25">
      <c r="A35" s="57" t="str">
        <f>A21</f>
        <v>в т.ч. услуги по передаче</v>
      </c>
      <c r="B35" s="58">
        <v>1549.5150000000001</v>
      </c>
      <c r="C35" s="58">
        <f>1944.902-C36-179.394</f>
        <v>1765.3430000000001</v>
      </c>
      <c r="D35" s="58">
        <f>1944.902-D36</f>
        <v>1944.7425000000001</v>
      </c>
      <c r="E35" s="58">
        <f>1944.902-E36</f>
        <v>1944.7425000000001</v>
      </c>
      <c r="F35" s="58">
        <f>1944.902-F36</f>
        <v>1944.7425000000001</v>
      </c>
      <c r="G35" s="137">
        <f>SUM(B35:F35)</f>
        <v>9149.085500000001</v>
      </c>
      <c r="I35" s="60"/>
    </row>
    <row r="36" spans="1:9" x14ac:dyDescent="0.25">
      <c r="A36" s="57" t="str">
        <f>A22</f>
        <v>ТП до 15 кВ</v>
      </c>
      <c r="B36" s="58">
        <v>16.239000000000001</v>
      </c>
      <c r="C36" s="58">
        <f>0.55*300/1000</f>
        <v>0.16500000000000001</v>
      </c>
      <c r="D36" s="138">
        <f>290*0.55/1000</f>
        <v>0.1595</v>
      </c>
      <c r="E36" s="138">
        <f>D36</f>
        <v>0.1595</v>
      </c>
      <c r="F36" s="138">
        <f>E36</f>
        <v>0.1595</v>
      </c>
      <c r="G36" s="137">
        <f t="shared" ref="G36:G37" si="5">SUM(B36:F36)</f>
        <v>16.882500000000004</v>
      </c>
      <c r="I36" s="60"/>
    </row>
    <row r="37" spans="1:9" x14ac:dyDescent="0.25">
      <c r="A37" s="57" t="s">
        <v>113</v>
      </c>
      <c r="B37" s="58"/>
      <c r="C37" s="58">
        <f>179.394+9.06+2.221</f>
        <v>190.67500000000001</v>
      </c>
      <c r="D37" s="138">
        <f>8.7-0.725</f>
        <v>7.9749999999999996</v>
      </c>
      <c r="E37" s="138">
        <f>9.57-0.797-0.6</f>
        <v>8.173</v>
      </c>
      <c r="F37" s="138">
        <f>9.981-0.832*2</f>
        <v>8.3170000000000002</v>
      </c>
      <c r="G37" s="137">
        <f t="shared" si="5"/>
        <v>215.14000000000001</v>
      </c>
      <c r="I37" s="60"/>
    </row>
    <row r="38" spans="1:9" x14ac:dyDescent="0.25">
      <c r="A38" s="36" t="s">
        <v>124</v>
      </c>
      <c r="B38" s="61">
        <f>9.393+2.164+565.187</f>
        <v>576.74400000000003</v>
      </c>
      <c r="C38" s="61"/>
      <c r="D38" s="145"/>
      <c r="E38" s="145"/>
      <c r="F38" s="145"/>
      <c r="G38" s="140"/>
    </row>
    <row r="39" spans="1:9" s="56" customFormat="1" x14ac:dyDescent="0.25">
      <c r="A39" s="54" t="s">
        <v>125</v>
      </c>
      <c r="B39" s="55">
        <f>SUM(B40:B43)</f>
        <v>2149.5473609999999</v>
      </c>
      <c r="C39" s="55">
        <f>SUM(C40:C45)</f>
        <v>1951.2900000000002</v>
      </c>
      <c r="D39" s="55">
        <f t="shared" ref="D39:F39" si="6">SUM(D40:D45)</f>
        <v>1797.8520000000003</v>
      </c>
      <c r="E39" s="55">
        <f t="shared" si="6"/>
        <v>1778.4749960000001</v>
      </c>
      <c r="F39" s="55">
        <f t="shared" si="6"/>
        <v>1782.5839960000001</v>
      </c>
      <c r="G39" s="136">
        <f>SUM(G40:G45)</f>
        <v>9459.748352999999</v>
      </c>
    </row>
    <row r="40" spans="1:9" x14ac:dyDescent="0.25">
      <c r="A40" s="57" t="str">
        <f>A35</f>
        <v>в т.ч. услуги по передаче</v>
      </c>
      <c r="B40" s="58">
        <v>1547.6738399999999</v>
      </c>
      <c r="C40" s="58">
        <f>1609.644+2.516+177.275-8.009</f>
        <v>1781.4260000000002</v>
      </c>
      <c r="D40" s="138">
        <f>1791.036-27.562+8.01-4.5</f>
        <v>1766.9840000000002</v>
      </c>
      <c r="E40" s="138">
        <f>1726.183-31.416+50-12</f>
        <v>1732.7670000000001</v>
      </c>
      <c r="F40" s="138">
        <f>1760.309-25.154</f>
        <v>1735.155</v>
      </c>
      <c r="G40" s="137">
        <f>SUM(B40:F40)</f>
        <v>8564.0058399999998</v>
      </c>
    </row>
    <row r="41" spans="1:9" x14ac:dyDescent="0.25">
      <c r="A41" s="57" t="str">
        <f>A36</f>
        <v>ТП до 15 кВ</v>
      </c>
      <c r="B41" s="58">
        <v>16.238520999999999</v>
      </c>
      <c r="C41" s="58">
        <v>2.891</v>
      </c>
      <c r="D41" s="138">
        <v>7.0339999999999998</v>
      </c>
      <c r="E41" s="138">
        <v>7.4210000000000003</v>
      </c>
      <c r="F41" s="138">
        <v>7.7990000000000004</v>
      </c>
      <c r="G41" s="137">
        <f t="shared" ref="G41:G43" si="7">SUM(B41:F41)</f>
        <v>41.383520999999995</v>
      </c>
    </row>
    <row r="42" spans="1:9" hidden="1" x14ac:dyDescent="0.25">
      <c r="A42" s="57" t="s">
        <v>112</v>
      </c>
      <c r="B42" s="58"/>
      <c r="C42" s="58"/>
      <c r="D42" s="143"/>
      <c r="E42" s="143"/>
      <c r="F42" s="143"/>
      <c r="G42" s="137">
        <f t="shared" si="7"/>
        <v>0</v>
      </c>
    </row>
    <row r="43" spans="1:9" x14ac:dyDescent="0.25">
      <c r="A43" s="57" t="s">
        <v>113</v>
      </c>
      <c r="B43" s="58">
        <f>2149.547-1563.912</f>
        <v>585.63499999999999</v>
      </c>
      <c r="C43" s="58">
        <f>C23</f>
        <v>158.964</v>
      </c>
      <c r="D43" s="138">
        <f>4.67-0.389</f>
        <v>4.2809999999999997</v>
      </c>
      <c r="E43" s="138">
        <f>4.926-0.411</f>
        <v>4.5150000000000006</v>
      </c>
      <c r="F43" s="138">
        <f>5.178-0.432</f>
        <v>4.7459999999999996</v>
      </c>
      <c r="G43" s="137">
        <f t="shared" si="7"/>
        <v>758.14099999999985</v>
      </c>
    </row>
    <row r="44" spans="1:9" x14ac:dyDescent="0.25">
      <c r="A44" s="59" t="s">
        <v>126</v>
      </c>
      <c r="B44" s="58"/>
      <c r="C44" s="61"/>
      <c r="D44" s="145"/>
      <c r="E44" s="145"/>
      <c r="F44" s="145"/>
      <c r="G44" s="140"/>
    </row>
    <row r="45" spans="1:9" x14ac:dyDescent="0.25">
      <c r="A45" s="59" t="s">
        <v>127</v>
      </c>
      <c r="B45" s="58"/>
      <c r="C45" s="61">
        <v>8.0090000000000003</v>
      </c>
      <c r="D45" s="139">
        <v>19.553000000000001</v>
      </c>
      <c r="E45" s="139">
        <f>E68*13.9%</f>
        <v>33.771995999999994</v>
      </c>
      <c r="F45" s="139">
        <f>F68*13.9%</f>
        <v>34.883995999999996</v>
      </c>
      <c r="G45" s="137">
        <f>SUM(B45:F45)</f>
        <v>96.217991999999995</v>
      </c>
      <c r="I45" s="148"/>
    </row>
    <row r="46" spans="1:9" s="56" customFormat="1" x14ac:dyDescent="0.25">
      <c r="A46" s="54" t="s">
        <v>128</v>
      </c>
      <c r="B46" s="62">
        <f>B34-B39</f>
        <v>-7.0493609999998625</v>
      </c>
      <c r="C46" s="62">
        <f>C34-C39-C44-C45</f>
        <v>-3.1160000000001986</v>
      </c>
      <c r="D46" s="62">
        <f>D34-D39-D44-D45</f>
        <v>135.47199999999964</v>
      </c>
      <c r="E46" s="62">
        <f t="shared" ref="E46:G46" si="8">E34-E39-E44-E45</f>
        <v>140.8280079999999</v>
      </c>
      <c r="F46" s="62">
        <f t="shared" si="8"/>
        <v>135.75100799999998</v>
      </c>
      <c r="G46" s="62">
        <f t="shared" si="8"/>
        <v>-174.85834499999885</v>
      </c>
    </row>
    <row r="47" spans="1:9" s="56" customFormat="1" x14ac:dyDescent="0.25">
      <c r="A47" s="54" t="s">
        <v>129</v>
      </c>
      <c r="B47" s="62"/>
      <c r="C47" s="62"/>
      <c r="D47" s="147"/>
      <c r="E47" s="147"/>
      <c r="F47" s="147"/>
      <c r="G47" s="141"/>
    </row>
    <row r="48" spans="1:9" s="56" customFormat="1" x14ac:dyDescent="0.25">
      <c r="A48" s="54" t="s">
        <v>123</v>
      </c>
      <c r="B48" s="62"/>
      <c r="C48" s="62"/>
      <c r="D48" s="147"/>
      <c r="E48" s="147"/>
      <c r="F48" s="147"/>
      <c r="G48" s="141"/>
    </row>
    <row r="49" spans="1:7" s="56" customFormat="1" x14ac:dyDescent="0.25">
      <c r="A49" s="54" t="s">
        <v>124</v>
      </c>
      <c r="B49" s="62"/>
      <c r="C49" s="62">
        <v>133.13</v>
      </c>
      <c r="D49" s="141">
        <f>'БДР подробный'!E35-10</f>
        <v>167.64</v>
      </c>
      <c r="E49" s="141">
        <f>'БДР подробный'!F35-10</f>
        <v>141.43100000000001</v>
      </c>
      <c r="F49" s="141">
        <f>'БДР подробный'!G35-10</f>
        <v>142.89099999999999</v>
      </c>
      <c r="G49" s="141">
        <f>SUM(B49:F49)</f>
        <v>585.09199999999998</v>
      </c>
    </row>
    <row r="50" spans="1:7" s="56" customFormat="1" x14ac:dyDescent="0.25">
      <c r="A50" s="54" t="s">
        <v>130</v>
      </c>
      <c r="B50" s="62">
        <f t="shared" ref="B50" si="9">B48-B49</f>
        <v>0</v>
      </c>
      <c r="C50" s="62">
        <f t="shared" ref="C50:G50" si="10">C48-C49</f>
        <v>-133.13</v>
      </c>
      <c r="D50" s="141">
        <f t="shared" si="10"/>
        <v>-167.64</v>
      </c>
      <c r="E50" s="141">
        <f t="shared" si="10"/>
        <v>-141.43100000000001</v>
      </c>
      <c r="F50" s="141">
        <f t="shared" si="10"/>
        <v>-142.89099999999999</v>
      </c>
      <c r="G50" s="141">
        <f t="shared" si="10"/>
        <v>-585.09199999999998</v>
      </c>
    </row>
    <row r="51" spans="1:7" s="56" customFormat="1" x14ac:dyDescent="0.25">
      <c r="A51" s="54" t="s">
        <v>131</v>
      </c>
      <c r="B51" s="62"/>
      <c r="C51" s="62"/>
      <c r="D51" s="147"/>
      <c r="E51" s="147"/>
      <c r="F51" s="147"/>
      <c r="G51" s="141"/>
    </row>
    <row r="52" spans="1:7" s="56" customFormat="1" x14ac:dyDescent="0.25">
      <c r="A52" s="54" t="s">
        <v>123</v>
      </c>
      <c r="B52" s="62">
        <f t="shared" ref="B52" si="11">B53+B54</f>
        <v>0</v>
      </c>
      <c r="C52" s="62">
        <f t="shared" ref="C52:G52" si="12">C53+C54</f>
        <v>697</v>
      </c>
      <c r="D52" s="141">
        <f t="shared" si="12"/>
        <v>255.5</v>
      </c>
      <c r="E52" s="141">
        <f t="shared" si="12"/>
        <v>174</v>
      </c>
      <c r="F52" s="141">
        <f t="shared" si="12"/>
        <v>160</v>
      </c>
      <c r="G52" s="141">
        <f t="shared" si="12"/>
        <v>1286.5</v>
      </c>
    </row>
    <row r="53" spans="1:7" x14ac:dyDescent="0.25">
      <c r="A53" s="59" t="s">
        <v>132</v>
      </c>
      <c r="B53" s="61"/>
      <c r="C53" s="61"/>
      <c r="D53" s="139"/>
      <c r="E53" s="145"/>
      <c r="F53" s="145"/>
      <c r="G53" s="140"/>
    </row>
    <row r="54" spans="1:7" x14ac:dyDescent="0.25">
      <c r="A54" s="59" t="s">
        <v>133</v>
      </c>
      <c r="B54" s="61"/>
      <c r="C54" s="140">
        <v>697</v>
      </c>
      <c r="D54" s="139">
        <f>55.5+200</f>
        <v>255.5</v>
      </c>
      <c r="E54" s="139">
        <v>174</v>
      </c>
      <c r="F54" s="139">
        <v>160</v>
      </c>
      <c r="G54" s="137">
        <f>SUM(B54:F54)</f>
        <v>1286.5</v>
      </c>
    </row>
    <row r="55" spans="1:7" s="56" customFormat="1" x14ac:dyDescent="0.25">
      <c r="A55" s="54" t="s">
        <v>124</v>
      </c>
      <c r="B55" s="141">
        <f>B56</f>
        <v>0</v>
      </c>
      <c r="C55" s="141">
        <f>C56</f>
        <v>557.5</v>
      </c>
      <c r="D55" s="141">
        <f t="shared" ref="D55:F55" si="13">D56</f>
        <v>223.1</v>
      </c>
      <c r="E55" s="141">
        <f t="shared" si="13"/>
        <v>173</v>
      </c>
      <c r="F55" s="141">
        <f t="shared" si="13"/>
        <v>152</v>
      </c>
      <c r="G55" s="141">
        <f>G56</f>
        <v>1105.5999999999999</v>
      </c>
    </row>
    <row r="56" spans="1:7" x14ac:dyDescent="0.25">
      <c r="A56" s="59" t="s">
        <v>134</v>
      </c>
      <c r="B56" s="61"/>
      <c r="C56" s="140">
        <v>557.5</v>
      </c>
      <c r="D56" s="139">
        <f>200+23.1</f>
        <v>223.1</v>
      </c>
      <c r="E56" s="139">
        <f>123+100-50</f>
        <v>173</v>
      </c>
      <c r="F56" s="139">
        <v>152</v>
      </c>
      <c r="G56" s="137">
        <f>SUM(B56:F56)</f>
        <v>1105.5999999999999</v>
      </c>
    </row>
    <row r="57" spans="1:7" s="56" customFormat="1" x14ac:dyDescent="0.25">
      <c r="A57" s="54" t="s">
        <v>135</v>
      </c>
      <c r="B57" s="62">
        <f t="shared" ref="B57" si="14">B52-B55</f>
        <v>0</v>
      </c>
      <c r="C57" s="141">
        <f>C52-C55</f>
        <v>139.5</v>
      </c>
      <c r="D57" s="141">
        <f t="shared" ref="D57:G57" si="15">D52-D55</f>
        <v>32.400000000000006</v>
      </c>
      <c r="E57" s="141">
        <f t="shared" si="15"/>
        <v>1</v>
      </c>
      <c r="F57" s="141">
        <f t="shared" si="15"/>
        <v>8</v>
      </c>
      <c r="G57" s="141">
        <f t="shared" si="15"/>
        <v>180.90000000000009</v>
      </c>
    </row>
    <row r="58" spans="1:7" s="56" customFormat="1" x14ac:dyDescent="0.25">
      <c r="A58" s="54" t="s">
        <v>136</v>
      </c>
      <c r="B58" s="62">
        <f t="shared" ref="B58" si="16">B46+B50+B57</f>
        <v>-7.0493609999998625</v>
      </c>
      <c r="C58" s="62">
        <f t="shared" ref="C58:G58" si="17">C46+C50+C57</f>
        <v>3.2539999999997917</v>
      </c>
      <c r="D58" s="62">
        <f t="shared" si="17"/>
        <v>0.23199999999965826</v>
      </c>
      <c r="E58" s="62">
        <f t="shared" si="17"/>
        <v>0.3970079999998859</v>
      </c>
      <c r="F58" s="62">
        <f t="shared" si="17"/>
        <v>0.86000799999999344</v>
      </c>
      <c r="G58" s="62">
        <f t="shared" si="17"/>
        <v>-579.05034499999874</v>
      </c>
    </row>
    <row r="59" spans="1:7" s="56" customFormat="1" x14ac:dyDescent="0.25">
      <c r="A59" s="54" t="s">
        <v>137</v>
      </c>
      <c r="B59" s="62"/>
      <c r="C59" s="62"/>
      <c r="D59" s="146"/>
      <c r="E59" s="146"/>
      <c r="F59" s="146"/>
      <c r="G59" s="141"/>
    </row>
    <row r="60" spans="1:7" x14ac:dyDescent="0.25">
      <c r="A60" s="63" t="s">
        <v>138</v>
      </c>
      <c r="B60" s="61"/>
      <c r="C60" s="61"/>
      <c r="D60" s="145"/>
      <c r="E60" s="145"/>
      <c r="F60" s="145"/>
      <c r="G60" s="140"/>
    </row>
    <row r="61" spans="1:7" x14ac:dyDescent="0.25">
      <c r="A61" s="63" t="s">
        <v>139</v>
      </c>
      <c r="B61" s="61"/>
      <c r="C61" s="61"/>
      <c r="D61" s="145"/>
      <c r="E61" s="145"/>
      <c r="F61" s="145"/>
      <c r="G61" s="140"/>
    </row>
    <row r="62" spans="1:7" x14ac:dyDescent="0.25">
      <c r="A62" s="63" t="s">
        <v>140</v>
      </c>
      <c r="B62" s="61"/>
      <c r="C62" s="61"/>
      <c r="D62" s="145"/>
      <c r="E62" s="145"/>
      <c r="F62" s="145"/>
      <c r="G62" s="140"/>
    </row>
    <row r="63" spans="1:7" x14ac:dyDescent="0.25">
      <c r="A63" s="63" t="s">
        <v>141</v>
      </c>
      <c r="B63" s="61"/>
      <c r="C63" s="61"/>
      <c r="D63" s="145"/>
      <c r="E63" s="145"/>
      <c r="F63" s="145"/>
      <c r="G63" s="140"/>
    </row>
    <row r="64" spans="1:7" s="56" customFormat="1" x14ac:dyDescent="0.25">
      <c r="A64" s="54" t="s">
        <v>136</v>
      </c>
      <c r="B64" s="62">
        <f t="shared" ref="B64" si="18">B58+B59</f>
        <v>-7.0493609999998625</v>
      </c>
      <c r="C64" s="62">
        <f t="shared" ref="C64:G64" si="19">C58+C59</f>
        <v>3.2539999999997917</v>
      </c>
      <c r="D64" s="141">
        <f>D58+D59</f>
        <v>0.23199999999965826</v>
      </c>
      <c r="E64" s="141">
        <f t="shared" si="19"/>
        <v>0.3970079999998859</v>
      </c>
      <c r="F64" s="141">
        <f t="shared" si="19"/>
        <v>0.86000799999999344</v>
      </c>
      <c r="G64" s="141">
        <f t="shared" si="19"/>
        <v>-579.05034499999874</v>
      </c>
    </row>
    <row r="65" spans="1:7" s="56" customFormat="1" x14ac:dyDescent="0.25">
      <c r="A65" s="54" t="s">
        <v>142</v>
      </c>
      <c r="B65" s="62"/>
      <c r="C65" s="62"/>
      <c r="D65" s="146"/>
      <c r="E65" s="146"/>
      <c r="F65" s="146"/>
      <c r="G65" s="141"/>
    </row>
    <row r="66" spans="1:7" x14ac:dyDescent="0.25">
      <c r="A66" s="63" t="s">
        <v>143</v>
      </c>
      <c r="B66" s="61">
        <v>13.335000000000001</v>
      </c>
      <c r="C66" s="61">
        <v>2.516</v>
      </c>
      <c r="D66" s="140">
        <f>C66+C64</f>
        <v>5.7699999999997917</v>
      </c>
      <c r="E66" s="140">
        <f t="shared" ref="E66:G66" si="20">D66+D64</f>
        <v>6.00199999999945</v>
      </c>
      <c r="F66" s="140">
        <f t="shared" si="20"/>
        <v>6.3990079999993359</v>
      </c>
      <c r="G66" s="140">
        <f t="shared" si="20"/>
        <v>7.2590159999993293</v>
      </c>
    </row>
    <row r="67" spans="1:7" s="56" customFormat="1" x14ac:dyDescent="0.25">
      <c r="A67" s="54" t="s">
        <v>144</v>
      </c>
      <c r="B67" s="62">
        <v>0</v>
      </c>
      <c r="C67" s="141">
        <v>70.063999999999993</v>
      </c>
      <c r="D67" s="141">
        <f>C68</f>
        <v>209.56399999999996</v>
      </c>
      <c r="E67" s="141">
        <f>D68</f>
        <v>241.96399999999997</v>
      </c>
      <c r="F67" s="141">
        <f>E68</f>
        <v>242.96399999999994</v>
      </c>
      <c r="G67" s="141">
        <f>B67</f>
        <v>0</v>
      </c>
    </row>
    <row r="68" spans="1:7" s="56" customFormat="1" x14ac:dyDescent="0.25">
      <c r="A68" s="54" t="s">
        <v>145</v>
      </c>
      <c r="B68" s="62">
        <f>B67+B54-B56</f>
        <v>0</v>
      </c>
      <c r="C68" s="62">
        <f>C67+C54-C56</f>
        <v>209.56399999999996</v>
      </c>
      <c r="D68" s="62">
        <f t="shared" ref="D68:G68" si="21">D67+D54-D56</f>
        <v>241.96399999999997</v>
      </c>
      <c r="E68" s="62">
        <f t="shared" si="21"/>
        <v>242.96399999999994</v>
      </c>
      <c r="F68" s="62">
        <f t="shared" si="21"/>
        <v>250.96399999999994</v>
      </c>
      <c r="G68" s="141">
        <f t="shared" si="21"/>
        <v>180.90000000000009</v>
      </c>
    </row>
    <row r="72" spans="1:7" x14ac:dyDescent="0.25">
      <c r="C72" s="148"/>
      <c r="D72" s="148"/>
    </row>
    <row r="73" spans="1:7" x14ac:dyDescent="0.25">
      <c r="D73" s="148"/>
      <c r="E73" s="148"/>
      <c r="F73" s="148"/>
    </row>
    <row r="75" spans="1:7" x14ac:dyDescent="0.25">
      <c r="D75" s="148"/>
      <c r="E75" s="148"/>
      <c r="F75" s="148"/>
      <c r="G75" s="148"/>
    </row>
  </sheetData>
  <mergeCells count="1">
    <mergeCell ref="A5:G5"/>
  </mergeCells>
  <pageMargins left="0.7" right="0.7" top="0.75" bottom="0.75" header="0.3" footer="0.3"/>
  <pageSetup paperSize="9" scale="73" fitToHeight="2" orientation="portrait" r:id="rId1"/>
  <ignoredErrors>
    <ignoredError sqref="G55 G30:G34 G38:G39" formula="1"/>
    <ignoredError sqref="C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2:H55"/>
  <sheetViews>
    <sheetView view="pageBreakPreview" zoomScale="70" zoomScaleNormal="100" zoomScaleSheetLayoutView="70" workbookViewId="0">
      <selection activeCell="H24" sqref="H24"/>
    </sheetView>
  </sheetViews>
  <sheetFormatPr defaultRowHeight="15.75" x14ac:dyDescent="0.25"/>
  <cols>
    <col min="1" max="1" width="10.28515625" style="1" customWidth="1"/>
    <col min="2" max="2" width="50.28515625" style="1" bestFit="1" customWidth="1"/>
    <col min="3" max="7" width="10.28515625" style="1" customWidth="1"/>
    <col min="8" max="8" width="11" style="1" customWidth="1"/>
    <col min="9" max="255" width="9.140625" style="1"/>
    <col min="256" max="256" width="10.28515625" style="1" customWidth="1"/>
    <col min="257" max="257" width="50.28515625" style="1" bestFit="1" customWidth="1"/>
    <col min="258" max="263" width="10.28515625" style="1" customWidth="1"/>
    <col min="264" max="264" width="11" style="1" customWidth="1"/>
    <col min="265" max="511" width="9.140625" style="1"/>
    <col min="512" max="512" width="10.28515625" style="1" customWidth="1"/>
    <col min="513" max="513" width="50.28515625" style="1" bestFit="1" customWidth="1"/>
    <col min="514" max="519" width="10.28515625" style="1" customWidth="1"/>
    <col min="520" max="520" width="11" style="1" customWidth="1"/>
    <col min="521" max="767" width="9.140625" style="1"/>
    <col min="768" max="768" width="10.28515625" style="1" customWidth="1"/>
    <col min="769" max="769" width="50.28515625" style="1" bestFit="1" customWidth="1"/>
    <col min="770" max="775" width="10.28515625" style="1" customWidth="1"/>
    <col min="776" max="776" width="11" style="1" customWidth="1"/>
    <col min="777" max="1023" width="9.140625" style="1"/>
    <col min="1024" max="1024" width="10.28515625" style="1" customWidth="1"/>
    <col min="1025" max="1025" width="50.28515625" style="1" bestFit="1" customWidth="1"/>
    <col min="1026" max="1031" width="10.28515625" style="1" customWidth="1"/>
    <col min="1032" max="1032" width="11" style="1" customWidth="1"/>
    <col min="1033" max="1279" width="9.140625" style="1"/>
    <col min="1280" max="1280" width="10.28515625" style="1" customWidth="1"/>
    <col min="1281" max="1281" width="50.28515625" style="1" bestFit="1" customWidth="1"/>
    <col min="1282" max="1287" width="10.28515625" style="1" customWidth="1"/>
    <col min="1288" max="1288" width="11" style="1" customWidth="1"/>
    <col min="1289" max="1535" width="9.140625" style="1"/>
    <col min="1536" max="1536" width="10.28515625" style="1" customWidth="1"/>
    <col min="1537" max="1537" width="50.28515625" style="1" bestFit="1" customWidth="1"/>
    <col min="1538" max="1543" width="10.28515625" style="1" customWidth="1"/>
    <col min="1544" max="1544" width="11" style="1" customWidth="1"/>
    <col min="1545" max="1791" width="9.140625" style="1"/>
    <col min="1792" max="1792" width="10.28515625" style="1" customWidth="1"/>
    <col min="1793" max="1793" width="50.28515625" style="1" bestFit="1" customWidth="1"/>
    <col min="1794" max="1799" width="10.28515625" style="1" customWidth="1"/>
    <col min="1800" max="1800" width="11" style="1" customWidth="1"/>
    <col min="1801" max="2047" width="9.140625" style="1"/>
    <col min="2048" max="2048" width="10.28515625" style="1" customWidth="1"/>
    <col min="2049" max="2049" width="50.28515625" style="1" bestFit="1" customWidth="1"/>
    <col min="2050" max="2055" width="10.28515625" style="1" customWidth="1"/>
    <col min="2056" max="2056" width="11" style="1" customWidth="1"/>
    <col min="2057" max="2303" width="9.140625" style="1"/>
    <col min="2304" max="2304" width="10.28515625" style="1" customWidth="1"/>
    <col min="2305" max="2305" width="50.28515625" style="1" bestFit="1" customWidth="1"/>
    <col min="2306" max="2311" width="10.28515625" style="1" customWidth="1"/>
    <col min="2312" max="2312" width="11" style="1" customWidth="1"/>
    <col min="2313" max="2559" width="9.140625" style="1"/>
    <col min="2560" max="2560" width="10.28515625" style="1" customWidth="1"/>
    <col min="2561" max="2561" width="50.28515625" style="1" bestFit="1" customWidth="1"/>
    <col min="2562" max="2567" width="10.28515625" style="1" customWidth="1"/>
    <col min="2568" max="2568" width="11" style="1" customWidth="1"/>
    <col min="2569" max="2815" width="9.140625" style="1"/>
    <col min="2816" max="2816" width="10.28515625" style="1" customWidth="1"/>
    <col min="2817" max="2817" width="50.28515625" style="1" bestFit="1" customWidth="1"/>
    <col min="2818" max="2823" width="10.28515625" style="1" customWidth="1"/>
    <col min="2824" max="2824" width="11" style="1" customWidth="1"/>
    <col min="2825" max="3071" width="9.140625" style="1"/>
    <col min="3072" max="3072" width="10.28515625" style="1" customWidth="1"/>
    <col min="3073" max="3073" width="50.28515625" style="1" bestFit="1" customWidth="1"/>
    <col min="3074" max="3079" width="10.28515625" style="1" customWidth="1"/>
    <col min="3080" max="3080" width="11" style="1" customWidth="1"/>
    <col min="3081" max="3327" width="9.140625" style="1"/>
    <col min="3328" max="3328" width="10.28515625" style="1" customWidth="1"/>
    <col min="3329" max="3329" width="50.28515625" style="1" bestFit="1" customWidth="1"/>
    <col min="3330" max="3335" width="10.28515625" style="1" customWidth="1"/>
    <col min="3336" max="3336" width="11" style="1" customWidth="1"/>
    <col min="3337" max="3583" width="9.140625" style="1"/>
    <col min="3584" max="3584" width="10.28515625" style="1" customWidth="1"/>
    <col min="3585" max="3585" width="50.28515625" style="1" bestFit="1" customWidth="1"/>
    <col min="3586" max="3591" width="10.28515625" style="1" customWidth="1"/>
    <col min="3592" max="3592" width="11" style="1" customWidth="1"/>
    <col min="3593" max="3839" width="9.140625" style="1"/>
    <col min="3840" max="3840" width="10.28515625" style="1" customWidth="1"/>
    <col min="3841" max="3841" width="50.28515625" style="1" bestFit="1" customWidth="1"/>
    <col min="3842" max="3847" width="10.28515625" style="1" customWidth="1"/>
    <col min="3848" max="3848" width="11" style="1" customWidth="1"/>
    <col min="3849" max="4095" width="9.140625" style="1"/>
    <col min="4096" max="4096" width="10.28515625" style="1" customWidth="1"/>
    <col min="4097" max="4097" width="50.28515625" style="1" bestFit="1" customWidth="1"/>
    <col min="4098" max="4103" width="10.28515625" style="1" customWidth="1"/>
    <col min="4104" max="4104" width="11" style="1" customWidth="1"/>
    <col min="4105" max="4351" width="9.140625" style="1"/>
    <col min="4352" max="4352" width="10.28515625" style="1" customWidth="1"/>
    <col min="4353" max="4353" width="50.28515625" style="1" bestFit="1" customWidth="1"/>
    <col min="4354" max="4359" width="10.28515625" style="1" customWidth="1"/>
    <col min="4360" max="4360" width="11" style="1" customWidth="1"/>
    <col min="4361" max="4607" width="9.140625" style="1"/>
    <col min="4608" max="4608" width="10.28515625" style="1" customWidth="1"/>
    <col min="4609" max="4609" width="50.28515625" style="1" bestFit="1" customWidth="1"/>
    <col min="4610" max="4615" width="10.28515625" style="1" customWidth="1"/>
    <col min="4616" max="4616" width="11" style="1" customWidth="1"/>
    <col min="4617" max="4863" width="9.140625" style="1"/>
    <col min="4864" max="4864" width="10.28515625" style="1" customWidth="1"/>
    <col min="4865" max="4865" width="50.28515625" style="1" bestFit="1" customWidth="1"/>
    <col min="4866" max="4871" width="10.28515625" style="1" customWidth="1"/>
    <col min="4872" max="4872" width="11" style="1" customWidth="1"/>
    <col min="4873" max="5119" width="9.140625" style="1"/>
    <col min="5120" max="5120" width="10.28515625" style="1" customWidth="1"/>
    <col min="5121" max="5121" width="50.28515625" style="1" bestFit="1" customWidth="1"/>
    <col min="5122" max="5127" width="10.28515625" style="1" customWidth="1"/>
    <col min="5128" max="5128" width="11" style="1" customWidth="1"/>
    <col min="5129" max="5375" width="9.140625" style="1"/>
    <col min="5376" max="5376" width="10.28515625" style="1" customWidth="1"/>
    <col min="5377" max="5377" width="50.28515625" style="1" bestFit="1" customWidth="1"/>
    <col min="5378" max="5383" width="10.28515625" style="1" customWidth="1"/>
    <col min="5384" max="5384" width="11" style="1" customWidth="1"/>
    <col min="5385" max="5631" width="9.140625" style="1"/>
    <col min="5632" max="5632" width="10.28515625" style="1" customWidth="1"/>
    <col min="5633" max="5633" width="50.28515625" style="1" bestFit="1" customWidth="1"/>
    <col min="5634" max="5639" width="10.28515625" style="1" customWidth="1"/>
    <col min="5640" max="5640" width="11" style="1" customWidth="1"/>
    <col min="5641" max="5887" width="9.140625" style="1"/>
    <col min="5888" max="5888" width="10.28515625" style="1" customWidth="1"/>
    <col min="5889" max="5889" width="50.28515625" style="1" bestFit="1" customWidth="1"/>
    <col min="5890" max="5895" width="10.28515625" style="1" customWidth="1"/>
    <col min="5896" max="5896" width="11" style="1" customWidth="1"/>
    <col min="5897" max="6143" width="9.140625" style="1"/>
    <col min="6144" max="6144" width="10.28515625" style="1" customWidth="1"/>
    <col min="6145" max="6145" width="50.28515625" style="1" bestFit="1" customWidth="1"/>
    <col min="6146" max="6151" width="10.28515625" style="1" customWidth="1"/>
    <col min="6152" max="6152" width="11" style="1" customWidth="1"/>
    <col min="6153" max="6399" width="9.140625" style="1"/>
    <col min="6400" max="6400" width="10.28515625" style="1" customWidth="1"/>
    <col min="6401" max="6401" width="50.28515625" style="1" bestFit="1" customWidth="1"/>
    <col min="6402" max="6407" width="10.28515625" style="1" customWidth="1"/>
    <col min="6408" max="6408" width="11" style="1" customWidth="1"/>
    <col min="6409" max="6655" width="9.140625" style="1"/>
    <col min="6656" max="6656" width="10.28515625" style="1" customWidth="1"/>
    <col min="6657" max="6657" width="50.28515625" style="1" bestFit="1" customWidth="1"/>
    <col min="6658" max="6663" width="10.28515625" style="1" customWidth="1"/>
    <col min="6664" max="6664" width="11" style="1" customWidth="1"/>
    <col min="6665" max="6911" width="9.140625" style="1"/>
    <col min="6912" max="6912" width="10.28515625" style="1" customWidth="1"/>
    <col min="6913" max="6913" width="50.28515625" style="1" bestFit="1" customWidth="1"/>
    <col min="6914" max="6919" width="10.28515625" style="1" customWidth="1"/>
    <col min="6920" max="6920" width="11" style="1" customWidth="1"/>
    <col min="6921" max="7167" width="9.140625" style="1"/>
    <col min="7168" max="7168" width="10.28515625" style="1" customWidth="1"/>
    <col min="7169" max="7169" width="50.28515625" style="1" bestFit="1" customWidth="1"/>
    <col min="7170" max="7175" width="10.28515625" style="1" customWidth="1"/>
    <col min="7176" max="7176" width="11" style="1" customWidth="1"/>
    <col min="7177" max="7423" width="9.140625" style="1"/>
    <col min="7424" max="7424" width="10.28515625" style="1" customWidth="1"/>
    <col min="7425" max="7425" width="50.28515625" style="1" bestFit="1" customWidth="1"/>
    <col min="7426" max="7431" width="10.28515625" style="1" customWidth="1"/>
    <col min="7432" max="7432" width="11" style="1" customWidth="1"/>
    <col min="7433" max="7679" width="9.140625" style="1"/>
    <col min="7680" max="7680" width="10.28515625" style="1" customWidth="1"/>
    <col min="7681" max="7681" width="50.28515625" style="1" bestFit="1" customWidth="1"/>
    <col min="7682" max="7687" width="10.28515625" style="1" customWidth="1"/>
    <col min="7688" max="7688" width="11" style="1" customWidth="1"/>
    <col min="7689" max="7935" width="9.140625" style="1"/>
    <col min="7936" max="7936" width="10.28515625" style="1" customWidth="1"/>
    <col min="7937" max="7937" width="50.28515625" style="1" bestFit="1" customWidth="1"/>
    <col min="7938" max="7943" width="10.28515625" style="1" customWidth="1"/>
    <col min="7944" max="7944" width="11" style="1" customWidth="1"/>
    <col min="7945" max="8191" width="9.140625" style="1"/>
    <col min="8192" max="8192" width="10.28515625" style="1" customWidth="1"/>
    <col min="8193" max="8193" width="50.28515625" style="1" bestFit="1" customWidth="1"/>
    <col min="8194" max="8199" width="10.28515625" style="1" customWidth="1"/>
    <col min="8200" max="8200" width="11" style="1" customWidth="1"/>
    <col min="8201" max="8447" width="9.140625" style="1"/>
    <col min="8448" max="8448" width="10.28515625" style="1" customWidth="1"/>
    <col min="8449" max="8449" width="50.28515625" style="1" bestFit="1" customWidth="1"/>
    <col min="8450" max="8455" width="10.28515625" style="1" customWidth="1"/>
    <col min="8456" max="8456" width="11" style="1" customWidth="1"/>
    <col min="8457" max="8703" width="9.140625" style="1"/>
    <col min="8704" max="8704" width="10.28515625" style="1" customWidth="1"/>
    <col min="8705" max="8705" width="50.28515625" style="1" bestFit="1" customWidth="1"/>
    <col min="8706" max="8711" width="10.28515625" style="1" customWidth="1"/>
    <col min="8712" max="8712" width="11" style="1" customWidth="1"/>
    <col min="8713" max="8959" width="9.140625" style="1"/>
    <col min="8960" max="8960" width="10.28515625" style="1" customWidth="1"/>
    <col min="8961" max="8961" width="50.28515625" style="1" bestFit="1" customWidth="1"/>
    <col min="8962" max="8967" width="10.28515625" style="1" customWidth="1"/>
    <col min="8968" max="8968" width="11" style="1" customWidth="1"/>
    <col min="8969" max="9215" width="9.140625" style="1"/>
    <col min="9216" max="9216" width="10.28515625" style="1" customWidth="1"/>
    <col min="9217" max="9217" width="50.28515625" style="1" bestFit="1" customWidth="1"/>
    <col min="9218" max="9223" width="10.28515625" style="1" customWidth="1"/>
    <col min="9224" max="9224" width="11" style="1" customWidth="1"/>
    <col min="9225" max="9471" width="9.140625" style="1"/>
    <col min="9472" max="9472" width="10.28515625" style="1" customWidth="1"/>
    <col min="9473" max="9473" width="50.28515625" style="1" bestFit="1" customWidth="1"/>
    <col min="9474" max="9479" width="10.28515625" style="1" customWidth="1"/>
    <col min="9480" max="9480" width="11" style="1" customWidth="1"/>
    <col min="9481" max="9727" width="9.140625" style="1"/>
    <col min="9728" max="9728" width="10.28515625" style="1" customWidth="1"/>
    <col min="9729" max="9729" width="50.28515625" style="1" bestFit="1" customWidth="1"/>
    <col min="9730" max="9735" width="10.28515625" style="1" customWidth="1"/>
    <col min="9736" max="9736" width="11" style="1" customWidth="1"/>
    <col min="9737" max="9983" width="9.140625" style="1"/>
    <col min="9984" max="9984" width="10.28515625" style="1" customWidth="1"/>
    <col min="9985" max="9985" width="50.28515625" style="1" bestFit="1" customWidth="1"/>
    <col min="9986" max="9991" width="10.28515625" style="1" customWidth="1"/>
    <col min="9992" max="9992" width="11" style="1" customWidth="1"/>
    <col min="9993" max="10239" width="9.140625" style="1"/>
    <col min="10240" max="10240" width="10.28515625" style="1" customWidth="1"/>
    <col min="10241" max="10241" width="50.28515625" style="1" bestFit="1" customWidth="1"/>
    <col min="10242" max="10247" width="10.28515625" style="1" customWidth="1"/>
    <col min="10248" max="10248" width="11" style="1" customWidth="1"/>
    <col min="10249" max="10495" width="9.140625" style="1"/>
    <col min="10496" max="10496" width="10.28515625" style="1" customWidth="1"/>
    <col min="10497" max="10497" width="50.28515625" style="1" bestFit="1" customWidth="1"/>
    <col min="10498" max="10503" width="10.28515625" style="1" customWidth="1"/>
    <col min="10504" max="10504" width="11" style="1" customWidth="1"/>
    <col min="10505" max="10751" width="9.140625" style="1"/>
    <col min="10752" max="10752" width="10.28515625" style="1" customWidth="1"/>
    <col min="10753" max="10753" width="50.28515625" style="1" bestFit="1" customWidth="1"/>
    <col min="10754" max="10759" width="10.28515625" style="1" customWidth="1"/>
    <col min="10760" max="10760" width="11" style="1" customWidth="1"/>
    <col min="10761" max="11007" width="9.140625" style="1"/>
    <col min="11008" max="11008" width="10.28515625" style="1" customWidth="1"/>
    <col min="11009" max="11009" width="50.28515625" style="1" bestFit="1" customWidth="1"/>
    <col min="11010" max="11015" width="10.28515625" style="1" customWidth="1"/>
    <col min="11016" max="11016" width="11" style="1" customWidth="1"/>
    <col min="11017" max="11263" width="9.140625" style="1"/>
    <col min="11264" max="11264" width="10.28515625" style="1" customWidth="1"/>
    <col min="11265" max="11265" width="50.28515625" style="1" bestFit="1" customWidth="1"/>
    <col min="11266" max="11271" width="10.28515625" style="1" customWidth="1"/>
    <col min="11272" max="11272" width="11" style="1" customWidth="1"/>
    <col min="11273" max="11519" width="9.140625" style="1"/>
    <col min="11520" max="11520" width="10.28515625" style="1" customWidth="1"/>
    <col min="11521" max="11521" width="50.28515625" style="1" bestFit="1" customWidth="1"/>
    <col min="11522" max="11527" width="10.28515625" style="1" customWidth="1"/>
    <col min="11528" max="11528" width="11" style="1" customWidth="1"/>
    <col min="11529" max="11775" width="9.140625" style="1"/>
    <col min="11776" max="11776" width="10.28515625" style="1" customWidth="1"/>
    <col min="11777" max="11777" width="50.28515625" style="1" bestFit="1" customWidth="1"/>
    <col min="11778" max="11783" width="10.28515625" style="1" customWidth="1"/>
    <col min="11784" max="11784" width="11" style="1" customWidth="1"/>
    <col min="11785" max="12031" width="9.140625" style="1"/>
    <col min="12032" max="12032" width="10.28515625" style="1" customWidth="1"/>
    <col min="12033" max="12033" width="50.28515625" style="1" bestFit="1" customWidth="1"/>
    <col min="12034" max="12039" width="10.28515625" style="1" customWidth="1"/>
    <col min="12040" max="12040" width="11" style="1" customWidth="1"/>
    <col min="12041" max="12287" width="9.140625" style="1"/>
    <col min="12288" max="12288" width="10.28515625" style="1" customWidth="1"/>
    <col min="12289" max="12289" width="50.28515625" style="1" bestFit="1" customWidth="1"/>
    <col min="12290" max="12295" width="10.28515625" style="1" customWidth="1"/>
    <col min="12296" max="12296" width="11" style="1" customWidth="1"/>
    <col min="12297" max="12543" width="9.140625" style="1"/>
    <col min="12544" max="12544" width="10.28515625" style="1" customWidth="1"/>
    <col min="12545" max="12545" width="50.28515625" style="1" bestFit="1" customWidth="1"/>
    <col min="12546" max="12551" width="10.28515625" style="1" customWidth="1"/>
    <col min="12552" max="12552" width="11" style="1" customWidth="1"/>
    <col min="12553" max="12799" width="9.140625" style="1"/>
    <col min="12800" max="12800" width="10.28515625" style="1" customWidth="1"/>
    <col min="12801" max="12801" width="50.28515625" style="1" bestFit="1" customWidth="1"/>
    <col min="12802" max="12807" width="10.28515625" style="1" customWidth="1"/>
    <col min="12808" max="12808" width="11" style="1" customWidth="1"/>
    <col min="12809" max="13055" width="9.140625" style="1"/>
    <col min="13056" max="13056" width="10.28515625" style="1" customWidth="1"/>
    <col min="13057" max="13057" width="50.28515625" style="1" bestFit="1" customWidth="1"/>
    <col min="13058" max="13063" width="10.28515625" style="1" customWidth="1"/>
    <col min="13064" max="13064" width="11" style="1" customWidth="1"/>
    <col min="13065" max="13311" width="9.140625" style="1"/>
    <col min="13312" max="13312" width="10.28515625" style="1" customWidth="1"/>
    <col min="13313" max="13313" width="50.28515625" style="1" bestFit="1" customWidth="1"/>
    <col min="13314" max="13319" width="10.28515625" style="1" customWidth="1"/>
    <col min="13320" max="13320" width="11" style="1" customWidth="1"/>
    <col min="13321" max="13567" width="9.140625" style="1"/>
    <col min="13568" max="13568" width="10.28515625" style="1" customWidth="1"/>
    <col min="13569" max="13569" width="50.28515625" style="1" bestFit="1" customWidth="1"/>
    <col min="13570" max="13575" width="10.28515625" style="1" customWidth="1"/>
    <col min="13576" max="13576" width="11" style="1" customWidth="1"/>
    <col min="13577" max="13823" width="9.140625" style="1"/>
    <col min="13824" max="13824" width="10.28515625" style="1" customWidth="1"/>
    <col min="13825" max="13825" width="50.28515625" style="1" bestFit="1" customWidth="1"/>
    <col min="13826" max="13831" width="10.28515625" style="1" customWidth="1"/>
    <col min="13832" max="13832" width="11" style="1" customWidth="1"/>
    <col min="13833" max="14079" width="9.140625" style="1"/>
    <col min="14080" max="14080" width="10.28515625" style="1" customWidth="1"/>
    <col min="14081" max="14081" width="50.28515625" style="1" bestFit="1" customWidth="1"/>
    <col min="14082" max="14087" width="10.28515625" style="1" customWidth="1"/>
    <col min="14088" max="14088" width="11" style="1" customWidth="1"/>
    <col min="14089" max="14335" width="9.140625" style="1"/>
    <col min="14336" max="14336" width="10.28515625" style="1" customWidth="1"/>
    <col min="14337" max="14337" width="50.28515625" style="1" bestFit="1" customWidth="1"/>
    <col min="14338" max="14343" width="10.28515625" style="1" customWidth="1"/>
    <col min="14344" max="14344" width="11" style="1" customWidth="1"/>
    <col min="14345" max="14591" width="9.140625" style="1"/>
    <col min="14592" max="14592" width="10.28515625" style="1" customWidth="1"/>
    <col min="14593" max="14593" width="50.28515625" style="1" bestFit="1" customWidth="1"/>
    <col min="14594" max="14599" width="10.28515625" style="1" customWidth="1"/>
    <col min="14600" max="14600" width="11" style="1" customWidth="1"/>
    <col min="14601" max="14847" width="9.140625" style="1"/>
    <col min="14848" max="14848" width="10.28515625" style="1" customWidth="1"/>
    <col min="14849" max="14849" width="50.28515625" style="1" bestFit="1" customWidth="1"/>
    <col min="14850" max="14855" width="10.28515625" style="1" customWidth="1"/>
    <col min="14856" max="14856" width="11" style="1" customWidth="1"/>
    <col min="14857" max="15103" width="9.140625" style="1"/>
    <col min="15104" max="15104" width="10.28515625" style="1" customWidth="1"/>
    <col min="15105" max="15105" width="50.28515625" style="1" bestFit="1" customWidth="1"/>
    <col min="15106" max="15111" width="10.28515625" style="1" customWidth="1"/>
    <col min="15112" max="15112" width="11" style="1" customWidth="1"/>
    <col min="15113" max="15359" width="9.140625" style="1"/>
    <col min="15360" max="15360" width="10.28515625" style="1" customWidth="1"/>
    <col min="15361" max="15361" width="50.28515625" style="1" bestFit="1" customWidth="1"/>
    <col min="15362" max="15367" width="10.28515625" style="1" customWidth="1"/>
    <col min="15368" max="15368" width="11" style="1" customWidth="1"/>
    <col min="15369" max="15615" width="9.140625" style="1"/>
    <col min="15616" max="15616" width="10.28515625" style="1" customWidth="1"/>
    <col min="15617" max="15617" width="50.28515625" style="1" bestFit="1" customWidth="1"/>
    <col min="15618" max="15623" width="10.28515625" style="1" customWidth="1"/>
    <col min="15624" max="15624" width="11" style="1" customWidth="1"/>
    <col min="15625" max="15871" width="9.140625" style="1"/>
    <col min="15872" max="15872" width="10.28515625" style="1" customWidth="1"/>
    <col min="15873" max="15873" width="50.28515625" style="1" bestFit="1" customWidth="1"/>
    <col min="15874" max="15879" width="10.28515625" style="1" customWidth="1"/>
    <col min="15880" max="15880" width="11" style="1" customWidth="1"/>
    <col min="15881" max="16127" width="9.140625" style="1"/>
    <col min="16128" max="16128" width="10.28515625" style="1" customWidth="1"/>
    <col min="16129" max="16129" width="50.28515625" style="1" bestFit="1" customWidth="1"/>
    <col min="16130" max="16135" width="10.28515625" style="1" customWidth="1"/>
    <col min="16136" max="16136" width="11" style="1" customWidth="1"/>
    <col min="16137" max="16384" width="9.140625" style="1"/>
  </cols>
  <sheetData>
    <row r="2" spans="1:8" x14ac:dyDescent="0.25">
      <c r="G2" s="2" t="s">
        <v>146</v>
      </c>
    </row>
    <row r="3" spans="1:8" x14ac:dyDescent="0.25">
      <c r="G3" s="2" t="s">
        <v>1</v>
      </c>
    </row>
    <row r="4" spans="1:8" x14ac:dyDescent="0.25">
      <c r="G4" s="2" t="s">
        <v>106</v>
      </c>
    </row>
    <row r="6" spans="1:8" s="64" customFormat="1" ht="30" customHeight="1" x14ac:dyDescent="0.25">
      <c r="A6" s="156" t="s">
        <v>147</v>
      </c>
      <c r="B6" s="156"/>
      <c r="C6" s="156"/>
      <c r="D6" s="156"/>
      <c r="E6" s="156"/>
      <c r="F6" s="156"/>
      <c r="G6" s="156"/>
    </row>
    <row r="7" spans="1:8" s="64" customFormat="1" ht="30" customHeight="1" x14ac:dyDescent="0.25">
      <c r="A7" s="4"/>
      <c r="B7" s="4"/>
      <c r="C7" s="4"/>
      <c r="D7" s="4"/>
      <c r="E7" s="4"/>
      <c r="F7" s="4"/>
      <c r="G7" s="4"/>
    </row>
    <row r="8" spans="1:8" x14ac:dyDescent="0.25">
      <c r="G8" s="2" t="s">
        <v>4</v>
      </c>
    </row>
    <row r="9" spans="1:8" x14ac:dyDescent="0.25">
      <c r="E9" s="1" t="s">
        <v>107</v>
      </c>
      <c r="G9" s="2"/>
    </row>
    <row r="10" spans="1:8" x14ac:dyDescent="0.25">
      <c r="G10" s="2"/>
    </row>
    <row r="11" spans="1:8" x14ac:dyDescent="0.25">
      <c r="E11" s="1" t="s">
        <v>108</v>
      </c>
      <c r="G11" s="2"/>
    </row>
    <row r="12" spans="1:8" x14ac:dyDescent="0.25">
      <c r="E12" s="157" t="s">
        <v>7</v>
      </c>
      <c r="F12" s="166"/>
    </row>
    <row r="13" spans="1:8" x14ac:dyDescent="0.25">
      <c r="G13" s="2" t="s">
        <v>202</v>
      </c>
    </row>
    <row r="14" spans="1:8" x14ac:dyDescent="0.25">
      <c r="G14" s="2" t="s">
        <v>8</v>
      </c>
    </row>
    <row r="15" spans="1:8" ht="16.5" thickBot="1" x14ac:dyDescent="0.3">
      <c r="A15" s="56"/>
    </row>
    <row r="16" spans="1:8" ht="48" customHeight="1" thickBot="1" x14ac:dyDescent="0.3">
      <c r="A16" s="65" t="s">
        <v>148</v>
      </c>
      <c r="B16" s="66" t="s">
        <v>149</v>
      </c>
      <c r="C16" s="169" t="s">
        <v>206</v>
      </c>
      <c r="D16" s="67" t="s">
        <v>150</v>
      </c>
      <c r="E16" s="67" t="s">
        <v>151</v>
      </c>
      <c r="F16" s="68" t="s">
        <v>152</v>
      </c>
      <c r="G16" s="69" t="s">
        <v>153</v>
      </c>
      <c r="H16" s="65" t="s">
        <v>110</v>
      </c>
    </row>
    <row r="17" spans="1:8" x14ac:dyDescent="0.25">
      <c r="A17" s="70">
        <v>1</v>
      </c>
      <c r="B17" s="71" t="s">
        <v>154</v>
      </c>
      <c r="C17" s="170">
        <f t="shared" ref="C17" si="0">C18+C25</f>
        <v>138.77028000000001</v>
      </c>
      <c r="D17" s="101">
        <f t="shared" ref="D17:H17" si="1">D18+D25</f>
        <v>167.63299999999998</v>
      </c>
      <c r="E17" s="101">
        <f t="shared" si="1"/>
        <v>207.64</v>
      </c>
      <c r="F17" s="101">
        <f t="shared" si="1"/>
        <v>181.43100000000001</v>
      </c>
      <c r="G17" s="101">
        <f t="shared" si="1"/>
        <v>182.89099999999999</v>
      </c>
      <c r="H17" s="102">
        <f t="shared" si="1"/>
        <v>878.36527999999998</v>
      </c>
    </row>
    <row r="18" spans="1:8" x14ac:dyDescent="0.25">
      <c r="A18" s="72" t="s">
        <v>16</v>
      </c>
      <c r="B18" s="71" t="s">
        <v>155</v>
      </c>
      <c r="C18" s="171">
        <f>C24</f>
        <v>9.7219999999999995</v>
      </c>
      <c r="D18" s="73">
        <f>D24</f>
        <v>13.712</v>
      </c>
      <c r="E18" s="73">
        <f>E24</f>
        <v>30</v>
      </c>
      <c r="F18" s="73">
        <f>F24</f>
        <v>30</v>
      </c>
      <c r="G18" s="73">
        <f>G24</f>
        <v>30</v>
      </c>
      <c r="H18" s="84">
        <f>SUM(C18:G18)</f>
        <v>113.434</v>
      </c>
    </row>
    <row r="19" spans="1:8" x14ac:dyDescent="0.25">
      <c r="A19" s="72" t="s">
        <v>156</v>
      </c>
      <c r="B19" s="71" t="s">
        <v>157</v>
      </c>
      <c r="C19" s="171"/>
      <c r="D19" s="73"/>
      <c r="E19" s="73"/>
      <c r="F19" s="73"/>
      <c r="G19" s="73"/>
      <c r="H19" s="84"/>
    </row>
    <row r="20" spans="1:8" x14ac:dyDescent="0.25">
      <c r="A20" s="72" t="s">
        <v>158</v>
      </c>
      <c r="B20" s="71" t="s">
        <v>159</v>
      </c>
      <c r="C20" s="171"/>
      <c r="D20" s="73"/>
      <c r="E20" s="73"/>
      <c r="F20" s="73"/>
      <c r="G20" s="73"/>
      <c r="H20" s="84"/>
    </row>
    <row r="21" spans="1:8" ht="31.5" x14ac:dyDescent="0.25">
      <c r="A21" s="72" t="s">
        <v>160</v>
      </c>
      <c r="B21" s="71" t="s">
        <v>161</v>
      </c>
      <c r="C21" s="171"/>
      <c r="D21" s="73"/>
      <c r="E21" s="73"/>
      <c r="F21" s="73"/>
      <c r="G21" s="73"/>
      <c r="H21" s="84"/>
    </row>
    <row r="22" spans="1:8" ht="31.5" x14ac:dyDescent="0.25">
      <c r="A22" s="72" t="s">
        <v>162</v>
      </c>
      <c r="B22" s="71" t="s">
        <v>163</v>
      </c>
      <c r="C22" s="171"/>
      <c r="D22" s="73"/>
      <c r="E22" s="73"/>
      <c r="F22" s="73"/>
      <c r="G22" s="73"/>
      <c r="H22" s="84"/>
    </row>
    <row r="23" spans="1:8" ht="31.5" x14ac:dyDescent="0.25">
      <c r="A23" s="72" t="s">
        <v>164</v>
      </c>
      <c r="B23" s="71" t="s">
        <v>165</v>
      </c>
      <c r="C23" s="171"/>
      <c r="D23" s="73"/>
      <c r="E23" s="73"/>
      <c r="F23" s="73"/>
      <c r="G23" s="73"/>
      <c r="H23" s="84"/>
    </row>
    <row r="24" spans="1:8" x14ac:dyDescent="0.25">
      <c r="A24" s="72" t="s">
        <v>166</v>
      </c>
      <c r="B24" s="71" t="s">
        <v>167</v>
      </c>
      <c r="C24" s="171">
        <v>9.7219999999999995</v>
      </c>
      <c r="D24" s="73">
        <v>13.712</v>
      </c>
      <c r="E24" s="74">
        <v>30</v>
      </c>
      <c r="F24" s="74">
        <v>30</v>
      </c>
      <c r="G24" s="74">
        <v>30</v>
      </c>
      <c r="H24" s="84">
        <f>SUM(C24:G24)</f>
        <v>113.434</v>
      </c>
    </row>
    <row r="25" spans="1:8" x14ac:dyDescent="0.25">
      <c r="A25" s="72" t="s">
        <v>20</v>
      </c>
      <c r="B25" s="71" t="s">
        <v>168</v>
      </c>
      <c r="C25" s="172">
        <f>'[2]приложение 4.1 (2)'!C35</f>
        <v>129.04828000000001</v>
      </c>
      <c r="D25" s="74">
        <f>'[1]приложение 4.1 (3)'!D35</f>
        <v>153.92099999999999</v>
      </c>
      <c r="E25" s="74">
        <v>177.64</v>
      </c>
      <c r="F25" s="74">
        <v>151.43100000000001</v>
      </c>
      <c r="G25" s="74">
        <v>152.89099999999999</v>
      </c>
      <c r="H25" s="174">
        <f>SUM(C25:G25)</f>
        <v>764.93128000000002</v>
      </c>
    </row>
    <row r="26" spans="1:8" x14ac:dyDescent="0.25">
      <c r="A26" s="72" t="s">
        <v>169</v>
      </c>
      <c r="B26" s="71" t="s">
        <v>170</v>
      </c>
      <c r="C26" s="171"/>
      <c r="D26" s="73"/>
      <c r="E26" s="73"/>
      <c r="F26" s="73"/>
      <c r="G26" s="73"/>
      <c r="H26" s="84"/>
    </row>
    <row r="27" spans="1:8" x14ac:dyDescent="0.25">
      <c r="A27" s="72" t="s">
        <v>171</v>
      </c>
      <c r="B27" s="71" t="s">
        <v>172</v>
      </c>
      <c r="C27" s="171"/>
      <c r="D27" s="73"/>
      <c r="E27" s="73"/>
      <c r="F27" s="73"/>
      <c r="G27" s="73"/>
      <c r="H27" s="84"/>
    </row>
    <row r="28" spans="1:8" x14ac:dyDescent="0.25">
      <c r="A28" s="72" t="s">
        <v>173</v>
      </c>
      <c r="B28" s="71" t="s">
        <v>174</v>
      </c>
      <c r="C28" s="171"/>
      <c r="D28" s="73"/>
      <c r="E28" s="73"/>
      <c r="F28" s="73"/>
      <c r="G28" s="73"/>
      <c r="H28" s="84"/>
    </row>
    <row r="29" spans="1:8" x14ac:dyDescent="0.25">
      <c r="A29" s="72" t="s">
        <v>28</v>
      </c>
      <c r="B29" s="71" t="s">
        <v>175</v>
      </c>
      <c r="C29" s="171"/>
      <c r="D29" s="73"/>
      <c r="E29" s="73"/>
      <c r="F29" s="73"/>
      <c r="G29" s="73"/>
      <c r="H29" s="84"/>
    </row>
    <row r="30" spans="1:8" x14ac:dyDescent="0.25">
      <c r="A30" s="72" t="s">
        <v>176</v>
      </c>
      <c r="B30" s="71" t="s">
        <v>177</v>
      </c>
      <c r="C30" s="171"/>
      <c r="D30" s="73"/>
      <c r="E30" s="73"/>
      <c r="F30" s="73"/>
      <c r="G30" s="73"/>
      <c r="H30" s="84"/>
    </row>
    <row r="31" spans="1:8" x14ac:dyDescent="0.25">
      <c r="A31" s="72" t="s">
        <v>178</v>
      </c>
      <c r="B31" s="71" t="s">
        <v>179</v>
      </c>
      <c r="C31" s="171"/>
      <c r="D31" s="73"/>
      <c r="E31" s="73"/>
      <c r="F31" s="73"/>
      <c r="G31" s="73"/>
      <c r="H31" s="84"/>
    </row>
    <row r="32" spans="1:8" x14ac:dyDescent="0.25">
      <c r="A32" s="72" t="s">
        <v>180</v>
      </c>
      <c r="B32" s="71" t="s">
        <v>181</v>
      </c>
      <c r="C32" s="171"/>
      <c r="D32" s="73"/>
      <c r="E32" s="73"/>
      <c r="F32" s="73"/>
      <c r="G32" s="73"/>
      <c r="H32" s="84"/>
    </row>
    <row r="33" spans="1:8" x14ac:dyDescent="0.25">
      <c r="A33" s="72" t="s">
        <v>30</v>
      </c>
      <c r="B33" s="71" t="s">
        <v>182</v>
      </c>
      <c r="C33" s="171"/>
      <c r="D33" s="73"/>
      <c r="E33" s="73"/>
      <c r="F33" s="73"/>
      <c r="G33" s="73"/>
      <c r="H33" s="84"/>
    </row>
    <row r="34" spans="1:8" x14ac:dyDescent="0.25">
      <c r="A34" s="72" t="s">
        <v>53</v>
      </c>
      <c r="B34" s="71" t="s">
        <v>183</v>
      </c>
      <c r="C34" s="171"/>
      <c r="D34" s="73"/>
      <c r="E34" s="73"/>
      <c r="F34" s="73"/>
      <c r="G34" s="73"/>
      <c r="H34" s="84"/>
    </row>
    <row r="35" spans="1:8" x14ac:dyDescent="0.25">
      <c r="A35" s="72" t="s">
        <v>184</v>
      </c>
      <c r="B35" s="71" t="s">
        <v>185</v>
      </c>
      <c r="C35" s="171"/>
      <c r="D35" s="73"/>
      <c r="E35" s="73"/>
      <c r="F35" s="73"/>
      <c r="G35" s="73"/>
      <c r="H35" s="84"/>
    </row>
    <row r="36" spans="1:8" x14ac:dyDescent="0.25">
      <c r="A36" s="75" t="s">
        <v>186</v>
      </c>
      <c r="B36" s="71" t="s">
        <v>187</v>
      </c>
      <c r="C36" s="171"/>
      <c r="D36" s="73"/>
      <c r="E36" s="73"/>
      <c r="F36" s="73"/>
      <c r="G36" s="73"/>
      <c r="H36" s="84"/>
    </row>
    <row r="37" spans="1:8" x14ac:dyDescent="0.25">
      <c r="A37" s="75" t="s">
        <v>188</v>
      </c>
      <c r="B37" s="71" t="s">
        <v>189</v>
      </c>
      <c r="C37" s="171"/>
      <c r="D37" s="73"/>
      <c r="E37" s="73"/>
      <c r="F37" s="73"/>
      <c r="G37" s="73"/>
      <c r="H37" s="84"/>
    </row>
    <row r="38" spans="1:8" x14ac:dyDescent="0.25">
      <c r="A38" s="72" t="s">
        <v>190</v>
      </c>
      <c r="B38" s="71" t="s">
        <v>191</v>
      </c>
      <c r="C38" s="171"/>
      <c r="D38" s="73"/>
      <c r="E38" s="73"/>
      <c r="F38" s="73"/>
      <c r="G38" s="73"/>
      <c r="H38" s="84"/>
    </row>
    <row r="39" spans="1:8" x14ac:dyDescent="0.25">
      <c r="A39" s="76" t="s">
        <v>192</v>
      </c>
      <c r="B39" s="77" t="s">
        <v>193</v>
      </c>
      <c r="C39" s="173"/>
      <c r="D39" s="78"/>
      <c r="E39" s="78"/>
      <c r="F39" s="78"/>
      <c r="G39" s="78"/>
      <c r="H39" s="100"/>
    </row>
    <row r="40" spans="1:8" ht="16.5" thickBot="1" x14ac:dyDescent="0.3">
      <c r="A40" s="76" t="s">
        <v>194</v>
      </c>
      <c r="B40" s="77" t="s">
        <v>195</v>
      </c>
      <c r="C40" s="173"/>
      <c r="D40" s="88"/>
      <c r="E40" s="88"/>
      <c r="F40" s="88"/>
      <c r="G40" s="88"/>
      <c r="H40" s="89"/>
    </row>
    <row r="41" spans="1:8" ht="16.5" customHeight="1" x14ac:dyDescent="0.25">
      <c r="A41" s="79"/>
      <c r="B41" s="80" t="s">
        <v>196</v>
      </c>
      <c r="C41" s="81">
        <f t="shared" ref="C41" si="2">C17</f>
        <v>138.77028000000001</v>
      </c>
      <c r="D41" s="81">
        <f t="shared" ref="D41:H41" si="3">D17</f>
        <v>167.63299999999998</v>
      </c>
      <c r="E41" s="81">
        <f t="shared" si="3"/>
        <v>207.64</v>
      </c>
      <c r="F41" s="81">
        <f t="shared" si="3"/>
        <v>181.43100000000001</v>
      </c>
      <c r="G41" s="81">
        <f t="shared" si="3"/>
        <v>182.89099999999999</v>
      </c>
      <c r="H41" s="81">
        <f t="shared" si="3"/>
        <v>878.36527999999998</v>
      </c>
    </row>
    <row r="42" spans="1:8" ht="16.5" customHeight="1" x14ac:dyDescent="0.25">
      <c r="A42" s="82"/>
      <c r="B42" s="83" t="s">
        <v>197</v>
      </c>
      <c r="C42" s="83"/>
      <c r="D42" s="73"/>
      <c r="E42" s="73"/>
      <c r="F42" s="73"/>
      <c r="G42" s="73"/>
      <c r="H42" s="84"/>
    </row>
    <row r="43" spans="1:8" ht="16.5" customHeight="1" x14ac:dyDescent="0.25">
      <c r="A43" s="82"/>
      <c r="B43" s="85" t="s">
        <v>198</v>
      </c>
      <c r="C43" s="85"/>
      <c r="D43" s="73"/>
      <c r="E43" s="73"/>
      <c r="F43" s="73"/>
      <c r="G43" s="73"/>
      <c r="H43" s="84"/>
    </row>
    <row r="44" spans="1:8" ht="16.5" customHeight="1" thickBot="1" x14ac:dyDescent="0.3">
      <c r="A44" s="86"/>
      <c r="B44" s="87" t="s">
        <v>199</v>
      </c>
      <c r="C44" s="87"/>
      <c r="D44" s="88"/>
      <c r="E44" s="88"/>
      <c r="F44" s="88"/>
      <c r="G44" s="88"/>
      <c r="H44" s="89"/>
    </row>
    <row r="45" spans="1:8" x14ac:dyDescent="0.25">
      <c r="A45" s="90"/>
      <c r="B45" s="91"/>
      <c r="C45" s="90"/>
      <c r="D45" s="90"/>
      <c r="E45" s="90"/>
      <c r="F45" s="90"/>
      <c r="G45" s="90"/>
    </row>
    <row r="46" spans="1:8" ht="30.6" customHeight="1" x14ac:dyDescent="0.25">
      <c r="A46" s="167" t="s">
        <v>200</v>
      </c>
      <c r="B46" s="167"/>
      <c r="C46" s="167"/>
      <c r="D46" s="167"/>
      <c r="E46" s="167"/>
      <c r="F46" s="167"/>
      <c r="G46" s="167"/>
    </row>
    <row r="47" spans="1:8" ht="30.6" customHeight="1" x14ac:dyDescent="0.25">
      <c r="A47" s="167" t="s">
        <v>201</v>
      </c>
      <c r="B47" s="167"/>
      <c r="C47" s="167"/>
      <c r="D47" s="167"/>
      <c r="E47" s="167"/>
      <c r="F47" s="167"/>
      <c r="G47" s="167"/>
    </row>
    <row r="48" spans="1:8" x14ac:dyDescent="0.25">
      <c r="A48" s="92"/>
      <c r="B48" s="93"/>
    </row>
    <row r="49" spans="1:7" x14ac:dyDescent="0.25">
      <c r="A49" s="92"/>
    </row>
    <row r="50" spans="1:7" x14ac:dyDescent="0.25">
      <c r="A50" s="92"/>
    </row>
    <row r="51" spans="1:7" x14ac:dyDescent="0.25">
      <c r="A51" s="94"/>
      <c r="B51" s="94"/>
      <c r="C51" s="94"/>
      <c r="D51" s="94"/>
      <c r="E51" s="94"/>
      <c r="F51" s="94"/>
      <c r="G51" s="94"/>
    </row>
    <row r="52" spans="1:7" x14ac:dyDescent="0.25">
      <c r="A52" s="92"/>
    </row>
    <row r="53" spans="1:7" x14ac:dyDescent="0.25">
      <c r="A53" s="95"/>
      <c r="C53" s="96"/>
      <c r="D53" s="96"/>
      <c r="E53" s="96"/>
      <c r="G53" s="97"/>
    </row>
    <row r="54" spans="1:7" x14ac:dyDescent="0.25">
      <c r="C54" s="98"/>
      <c r="D54" s="98"/>
      <c r="E54" s="98"/>
    </row>
    <row r="55" spans="1:7" x14ac:dyDescent="0.25">
      <c r="A55" s="99"/>
      <c r="E55" s="56"/>
    </row>
  </sheetData>
  <mergeCells count="4">
    <mergeCell ref="A6:G6"/>
    <mergeCell ref="E12:F12"/>
    <mergeCell ref="A46:G46"/>
    <mergeCell ref="A47:G47"/>
  </mergeCells>
  <pageMargins left="0.75" right="0.75" top="1" bottom="1" header="0.5" footer="0.5"/>
  <pageSetup paperSize="9" scale="70" orientation="portrait" r:id="rId1"/>
  <headerFooter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БДР подробный</vt:lpstr>
      <vt:lpstr>БДР сжатый и БДДС</vt:lpstr>
      <vt:lpstr>источники</vt:lpstr>
      <vt:lpstr>источники!Область_печати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Борисов Александр Иванович</cp:lastModifiedBy>
  <dcterms:created xsi:type="dcterms:W3CDTF">2016-09-26T06:13:00Z</dcterms:created>
  <dcterms:modified xsi:type="dcterms:W3CDTF">2016-10-20T08:50:41Z</dcterms:modified>
</cp:coreProperties>
</file>