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225" windowHeight="12300"/>
  </bookViews>
  <sheets>
    <sheet name="6.1" sheetId="4" r:id="rId1"/>
    <sheet name="6.2" sheetId="6" r:id="rId2"/>
    <sheet name="6.3" sheetId="3" r:id="rId3"/>
  </sheets>
  <externalReferences>
    <externalReference r:id="rId4"/>
    <externalReference r:id="rId5"/>
  </externalReferences>
  <definedNames>
    <definedName name="_xlnm.Print_Titles" localSheetId="2">'6.3'!$15:$18</definedName>
  </definedNames>
  <calcPr calcId="152511"/>
</workbook>
</file>

<file path=xl/calcChain.xml><?xml version="1.0" encoding="utf-8"?>
<calcChain xmlns="http://schemas.openxmlformats.org/spreadsheetml/2006/main">
  <c r="B20" i="3" l="1"/>
  <c r="A21" i="3"/>
  <c r="B21" i="3"/>
  <c r="B23" i="3"/>
  <c r="B26" i="3"/>
  <c r="A27" i="3"/>
  <c r="B27" i="3"/>
  <c r="A28" i="3"/>
  <c r="B28" i="3"/>
  <c r="A29" i="3"/>
  <c r="B29" i="3"/>
  <c r="A30" i="3"/>
  <c r="B30" i="3"/>
  <c r="A31" i="3"/>
  <c r="B31" i="3"/>
  <c r="A32" i="3"/>
  <c r="B32" i="3"/>
  <c r="A33" i="3"/>
  <c r="B33" i="3"/>
  <c r="A34" i="3"/>
  <c r="B34" i="3"/>
  <c r="B35" i="3"/>
  <c r="A36" i="3"/>
  <c r="B36" i="3"/>
  <c r="A37" i="3"/>
  <c r="B37" i="3"/>
  <c r="A38" i="3"/>
  <c r="B38" i="3"/>
  <c r="A39" i="3"/>
  <c r="B39" i="3"/>
  <c r="A40" i="3"/>
  <c r="B40" i="3"/>
  <c r="A41" i="3"/>
  <c r="B41" i="3"/>
  <c r="A42" i="3"/>
  <c r="B42" i="3"/>
  <c r="A43" i="3"/>
  <c r="B43" i="3"/>
  <c r="A44" i="3"/>
  <c r="B44" i="3"/>
  <c r="B45" i="3"/>
  <c r="A46" i="3"/>
  <c r="B46" i="3"/>
  <c r="B48" i="3"/>
  <c r="A49" i="3"/>
  <c r="B49" i="3"/>
  <c r="B50"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B19" i="3"/>
  <c r="A19" i="3"/>
  <c r="H35" i="6" l="1"/>
  <c r="J35" i="6"/>
  <c r="L35" i="6"/>
  <c r="L34" i="6" s="1"/>
  <c r="F35" i="6"/>
  <c r="K27" i="6"/>
  <c r="L27" i="6"/>
  <c r="I27" i="6"/>
  <c r="J27" i="6"/>
  <c r="G27" i="6"/>
  <c r="H27" i="6"/>
  <c r="H26" i="6" s="1"/>
  <c r="F27" i="6"/>
  <c r="D27" i="6"/>
  <c r="K26" i="6"/>
  <c r="L26" i="6"/>
  <c r="I26" i="6"/>
  <c r="J26" i="6"/>
  <c r="E27" i="6"/>
  <c r="E26" i="6" s="1"/>
  <c r="F25" i="6"/>
  <c r="D25" i="6" s="1"/>
  <c r="G25" i="6"/>
  <c r="H25" i="6"/>
  <c r="I25" i="6"/>
  <c r="I19" i="6" s="1"/>
  <c r="J25" i="6"/>
  <c r="J19" i="6" s="1"/>
  <c r="K25" i="6"/>
  <c r="L25" i="6"/>
  <c r="E25" i="6"/>
  <c r="D41" i="6"/>
  <c r="C41" i="6"/>
  <c r="D40" i="6"/>
  <c r="C40" i="6"/>
  <c r="D39" i="6"/>
  <c r="C39" i="6"/>
  <c r="D38" i="6"/>
  <c r="C38" i="6"/>
  <c r="D37" i="6"/>
  <c r="C37" i="6"/>
  <c r="D36" i="6"/>
  <c r="C36" i="6"/>
  <c r="J34" i="6"/>
  <c r="D35" i="6"/>
  <c r="D34" i="6" s="1"/>
  <c r="C35" i="6"/>
  <c r="C34" i="6" s="1"/>
  <c r="K34" i="6"/>
  <c r="I34" i="6"/>
  <c r="H34" i="6"/>
  <c r="G34" i="6"/>
  <c r="F34" i="6"/>
  <c r="E34" i="6"/>
  <c r="D33" i="6"/>
  <c r="C33" i="6"/>
  <c r="D32" i="6"/>
  <c r="C32" i="6"/>
  <c r="D31" i="6"/>
  <c r="C31" i="6"/>
  <c r="D30" i="6"/>
  <c r="C30" i="6"/>
  <c r="D29" i="6"/>
  <c r="C29" i="6"/>
  <c r="D28" i="6"/>
  <c r="C28" i="6"/>
  <c r="G26" i="6"/>
  <c r="C27" i="6"/>
  <c r="C26" i="6" s="1"/>
  <c r="C25" i="6"/>
  <c r="C24" i="6"/>
  <c r="D23" i="6"/>
  <c r="C23" i="6"/>
  <c r="L22" i="6"/>
  <c r="L19" i="6" s="1"/>
  <c r="K22" i="6"/>
  <c r="K19" i="6" s="1"/>
  <c r="J22" i="6"/>
  <c r="I22" i="6"/>
  <c r="H22" i="6"/>
  <c r="H19" i="6" s="1"/>
  <c r="G22" i="6"/>
  <c r="G19" i="6" s="1"/>
  <c r="F22" i="6"/>
  <c r="E22" i="6"/>
  <c r="D22" i="6"/>
  <c r="C22" i="6"/>
  <c r="D21" i="6"/>
  <c r="C21" i="6"/>
  <c r="D20" i="6"/>
  <c r="C20" i="6"/>
  <c r="C19" i="6" s="1"/>
  <c r="E19" i="6"/>
  <c r="W3" i="4"/>
  <c r="Q74" i="4"/>
  <c r="P74" i="4"/>
  <c r="O74" i="4"/>
  <c r="M74" i="4"/>
  <c r="K74" i="4"/>
  <c r="I74" i="4"/>
  <c r="G74" i="4"/>
  <c r="E74" i="4" s="1"/>
  <c r="Q73" i="4"/>
  <c r="P73" i="4"/>
  <c r="M73" i="4"/>
  <c r="O73" i="4" s="1"/>
  <c r="K73" i="4"/>
  <c r="I73" i="4"/>
  <c r="H73" i="4"/>
  <c r="G73" i="4"/>
  <c r="E73" i="4" s="1"/>
  <c r="D73" i="4"/>
  <c r="P72" i="4"/>
  <c r="O72" i="4"/>
  <c r="G72" i="4"/>
  <c r="F72" i="4"/>
  <c r="F69" i="4" s="1"/>
  <c r="E72" i="4"/>
  <c r="D72" i="4"/>
  <c r="P71" i="4"/>
  <c r="O71" i="4"/>
  <c r="N71" i="4"/>
  <c r="G71" i="4"/>
  <c r="F71" i="4"/>
  <c r="E71" i="4"/>
  <c r="D71" i="4"/>
  <c r="P70" i="4"/>
  <c r="O70" i="4"/>
  <c r="G70" i="4"/>
  <c r="E70" i="4" s="1"/>
  <c r="F70" i="4"/>
  <c r="D70" i="4"/>
  <c r="R69" i="4"/>
  <c r="Q69" i="4"/>
  <c r="M69" i="4"/>
  <c r="L69" i="4"/>
  <c r="K69" i="4"/>
  <c r="O69" i="4" s="1"/>
  <c r="J69" i="4"/>
  <c r="I69" i="4"/>
  <c r="H69" i="4"/>
  <c r="O68" i="4"/>
  <c r="I68" i="4"/>
  <c r="E68" i="4"/>
  <c r="M67" i="4"/>
  <c r="E67" i="4"/>
  <c r="O66" i="4"/>
  <c r="M66" i="4"/>
  <c r="Q66" i="4" s="1"/>
  <c r="E66" i="4"/>
  <c r="Q65" i="4"/>
  <c r="Q58" i="4" s="1"/>
  <c r="O65" i="4"/>
  <c r="I65" i="4"/>
  <c r="E65" i="4" s="1"/>
  <c r="Q64" i="4"/>
  <c r="P64" i="4"/>
  <c r="O64" i="4"/>
  <c r="M64" i="4"/>
  <c r="K64" i="4"/>
  <c r="E64" i="4"/>
  <c r="N64" i="4" s="1"/>
  <c r="P63" i="4"/>
  <c r="O63" i="4"/>
  <c r="G63" i="4"/>
  <c r="E63" i="4" s="1"/>
  <c r="P62" i="4"/>
  <c r="O62" i="4"/>
  <c r="N62" i="4"/>
  <c r="I62" i="4"/>
  <c r="G62" i="4"/>
  <c r="E62" i="4"/>
  <c r="P61" i="4"/>
  <c r="O61" i="4"/>
  <c r="K61" i="4"/>
  <c r="I61" i="4"/>
  <c r="I58" i="4" s="1"/>
  <c r="G61" i="4"/>
  <c r="E61" i="4" s="1"/>
  <c r="P60" i="4"/>
  <c r="O60" i="4"/>
  <c r="O58" i="4" s="1"/>
  <c r="N60" i="4"/>
  <c r="K60" i="4"/>
  <c r="G60" i="4"/>
  <c r="E60" i="4"/>
  <c r="P59" i="4"/>
  <c r="O59" i="4"/>
  <c r="M59" i="4"/>
  <c r="Q59" i="4" s="1"/>
  <c r="K59" i="4"/>
  <c r="E59" i="4" s="1"/>
  <c r="I59" i="4"/>
  <c r="H59" i="4"/>
  <c r="G59" i="4"/>
  <c r="F59" i="4"/>
  <c r="F58" i="4" s="1"/>
  <c r="D59" i="4"/>
  <c r="M58" i="4"/>
  <c r="L58" i="4"/>
  <c r="K58" i="4"/>
  <c r="J58" i="4"/>
  <c r="H58" i="4"/>
  <c r="G58" i="4"/>
  <c r="D58" i="4"/>
  <c r="P57" i="4"/>
  <c r="O57" i="4"/>
  <c r="G57" i="4"/>
  <c r="E57" i="4"/>
  <c r="O56" i="4"/>
  <c r="I56" i="4"/>
  <c r="P55" i="4"/>
  <c r="O55" i="4"/>
  <c r="I55" i="4"/>
  <c r="G55" i="4"/>
  <c r="E55" i="4"/>
  <c r="R54" i="4"/>
  <c r="Q54" i="4"/>
  <c r="O54" i="4"/>
  <c r="M54" i="4"/>
  <c r="L54" i="4"/>
  <c r="K54" i="4"/>
  <c r="J54" i="4"/>
  <c r="H54" i="4"/>
  <c r="G54" i="4"/>
  <c r="F54" i="4"/>
  <c r="D54" i="4"/>
  <c r="P53" i="4"/>
  <c r="E53" i="4"/>
  <c r="N53" i="4" s="1"/>
  <c r="N51" i="4" s="1"/>
  <c r="P52" i="4"/>
  <c r="E52" i="4"/>
  <c r="N52" i="4" s="1"/>
  <c r="R51" i="4"/>
  <c r="Q51" i="4"/>
  <c r="M51" i="4"/>
  <c r="L51" i="4"/>
  <c r="K51" i="4"/>
  <c r="J51" i="4"/>
  <c r="J35" i="4" s="1"/>
  <c r="J34" i="4" s="1"/>
  <c r="I51" i="4"/>
  <c r="H51" i="4"/>
  <c r="G51" i="4"/>
  <c r="F51" i="4"/>
  <c r="E51" i="4"/>
  <c r="D51" i="4"/>
  <c r="P50" i="4"/>
  <c r="P49" i="4" s="1"/>
  <c r="O50" i="4"/>
  <c r="O49" i="4" s="1"/>
  <c r="N50" i="4"/>
  <c r="N49" i="4" s="1"/>
  <c r="M50" i="4"/>
  <c r="E50" i="4"/>
  <c r="R49" i="4"/>
  <c r="Q49" i="4"/>
  <c r="M49" i="4"/>
  <c r="L49" i="4"/>
  <c r="G49" i="4"/>
  <c r="F49" i="4"/>
  <c r="E49" i="4"/>
  <c r="D49" i="4"/>
  <c r="P48" i="4"/>
  <c r="O48" i="4"/>
  <c r="N48" i="4"/>
  <c r="E48" i="4"/>
  <c r="P47" i="4"/>
  <c r="P46" i="4" s="1"/>
  <c r="O47" i="4"/>
  <c r="N47" i="4"/>
  <c r="N46" i="4" s="1"/>
  <c r="G47" i="4"/>
  <c r="E47" i="4"/>
  <c r="R46" i="4"/>
  <c r="Q46" i="4"/>
  <c r="O46" i="4"/>
  <c r="M46" i="4"/>
  <c r="L46" i="4"/>
  <c r="K46" i="4"/>
  <c r="J46" i="4"/>
  <c r="I46" i="4"/>
  <c r="H46" i="4"/>
  <c r="G46" i="4"/>
  <c r="F46" i="4"/>
  <c r="E46" i="4"/>
  <c r="D46" i="4"/>
  <c r="Q45" i="4"/>
  <c r="P45" i="4" s="1"/>
  <c r="M45" i="4"/>
  <c r="O45" i="4" s="1"/>
  <c r="O36" i="4" s="1"/>
  <c r="I45" i="4"/>
  <c r="E45" i="4" s="1"/>
  <c r="P44" i="4"/>
  <c r="O44" i="4"/>
  <c r="N44" i="4"/>
  <c r="M44" i="4"/>
  <c r="E44" i="4" s="1"/>
  <c r="P43" i="4"/>
  <c r="O43" i="4"/>
  <c r="N43" i="4"/>
  <c r="M43" i="4"/>
  <c r="E43" i="4"/>
  <c r="P42" i="4"/>
  <c r="O42" i="4"/>
  <c r="M42" i="4"/>
  <c r="E42" i="4"/>
  <c r="N42" i="4" s="1"/>
  <c r="Q41" i="4"/>
  <c r="P41" i="4" s="1"/>
  <c r="O41" i="4"/>
  <c r="M41" i="4"/>
  <c r="I41" i="4"/>
  <c r="E41" i="4"/>
  <c r="P40" i="4"/>
  <c r="O40" i="4"/>
  <c r="I40" i="4"/>
  <c r="E40" i="4"/>
  <c r="N40" i="4" s="1"/>
  <c r="P39" i="4"/>
  <c r="O39" i="4"/>
  <c r="I39" i="4"/>
  <c r="G39" i="4"/>
  <c r="P38" i="4"/>
  <c r="O38" i="4"/>
  <c r="M38" i="4"/>
  <c r="K38" i="4"/>
  <c r="I38" i="4"/>
  <c r="E38" i="4" s="1"/>
  <c r="H38" i="4"/>
  <c r="G38" i="4"/>
  <c r="D38" i="4"/>
  <c r="P37" i="4"/>
  <c r="O37" i="4"/>
  <c r="K37" i="4"/>
  <c r="E37" i="4" s="1"/>
  <c r="G37" i="4"/>
  <c r="L36" i="4"/>
  <c r="K36" i="4"/>
  <c r="K35" i="4" s="1"/>
  <c r="J36" i="4"/>
  <c r="H36" i="4"/>
  <c r="G36" i="4"/>
  <c r="G35" i="4" s="1"/>
  <c r="F36" i="4"/>
  <c r="L35" i="4"/>
  <c r="L34" i="4" s="1"/>
  <c r="H35" i="4"/>
  <c r="H34" i="4" s="1"/>
  <c r="F35" i="4"/>
  <c r="K34" i="4"/>
  <c r="M32" i="4"/>
  <c r="K32" i="4"/>
  <c r="E32" i="4"/>
  <c r="Q31" i="4"/>
  <c r="Q30" i="4" s="1"/>
  <c r="P31" i="4"/>
  <c r="O31" i="4"/>
  <c r="M31" i="4"/>
  <c r="M30" i="4" s="1"/>
  <c r="K31" i="4"/>
  <c r="I31" i="4"/>
  <c r="I30" i="4" s="1"/>
  <c r="H31" i="4"/>
  <c r="G31" i="4"/>
  <c r="F31" i="4"/>
  <c r="E31" i="4"/>
  <c r="D31" i="4"/>
  <c r="R30" i="4" s="1"/>
  <c r="P30" i="4"/>
  <c r="O30" i="4"/>
  <c r="L30" i="4"/>
  <c r="K30" i="4"/>
  <c r="J30" i="4"/>
  <c r="H30" i="4"/>
  <c r="G30" i="4"/>
  <c r="F30" i="4"/>
  <c r="D30" i="4"/>
  <c r="Q29" i="4"/>
  <c r="P29" i="4"/>
  <c r="O29" i="4"/>
  <c r="N29" i="4"/>
  <c r="Q28" i="4"/>
  <c r="P28" i="4"/>
  <c r="P27" i="4" s="1"/>
  <c r="M28" i="4"/>
  <c r="O28" i="4" s="1"/>
  <c r="O27" i="4" s="1"/>
  <c r="K28" i="4"/>
  <c r="G28" i="4"/>
  <c r="R27" i="4"/>
  <c r="Q27" i="4"/>
  <c r="M27" i="4"/>
  <c r="L27" i="4"/>
  <c r="K27" i="4"/>
  <c r="J27" i="4"/>
  <c r="I27" i="4"/>
  <c r="H27" i="4"/>
  <c r="G27" i="4"/>
  <c r="F27" i="4"/>
  <c r="D27" i="4"/>
  <c r="P26" i="4"/>
  <c r="O26" i="4"/>
  <c r="N26" i="4"/>
  <c r="E26" i="4"/>
  <c r="P25" i="4"/>
  <c r="O25" i="4"/>
  <c r="N25" i="4"/>
  <c r="N24" i="4" s="1"/>
  <c r="E25" i="4"/>
  <c r="Q24" i="4"/>
  <c r="Q20" i="4" s="1"/>
  <c r="Q19" i="4" s="1"/>
  <c r="P24" i="4"/>
  <c r="O24" i="4"/>
  <c r="M24" i="4"/>
  <c r="L24" i="4"/>
  <c r="K24" i="4"/>
  <c r="J24" i="4"/>
  <c r="I24" i="4"/>
  <c r="H24" i="4"/>
  <c r="G24" i="4"/>
  <c r="G20" i="4" s="1"/>
  <c r="G19" i="4" s="1"/>
  <c r="F24" i="4"/>
  <c r="F20" i="4" s="1"/>
  <c r="F19" i="4" s="1"/>
  <c r="E24" i="4"/>
  <c r="D24" i="4"/>
  <c r="P23" i="4"/>
  <c r="P21" i="4" s="1"/>
  <c r="P20" i="4" s="1"/>
  <c r="P19" i="4" s="1"/>
  <c r="E23" i="4"/>
  <c r="O23" i="4" s="1"/>
  <c r="Q22" i="4"/>
  <c r="P22" i="4"/>
  <c r="O22" i="4"/>
  <c r="M22" i="4"/>
  <c r="K22" i="4"/>
  <c r="I22" i="4"/>
  <c r="E22" i="4" s="1"/>
  <c r="G22" i="4"/>
  <c r="R21" i="4"/>
  <c r="Q21" i="4"/>
  <c r="M21" i="4"/>
  <c r="L21" i="4"/>
  <c r="L20" i="4" s="1"/>
  <c r="L19" i="4" s="1"/>
  <c r="L18" i="4" s="1"/>
  <c r="K21" i="4"/>
  <c r="K20" i="4" s="1"/>
  <c r="K19" i="4" s="1"/>
  <c r="K18" i="4" s="1"/>
  <c r="J21" i="4"/>
  <c r="H21" i="4"/>
  <c r="H20" i="4" s="1"/>
  <c r="H19" i="4" s="1"/>
  <c r="G21" i="4"/>
  <c r="D21" i="4"/>
  <c r="D20" i="4" s="1"/>
  <c r="D19" i="4" s="1"/>
  <c r="K18" i="6" l="1"/>
  <c r="H18" i="6"/>
  <c r="L18" i="6"/>
  <c r="L42" i="6" s="1"/>
  <c r="I18" i="6"/>
  <c r="I42" i="6" s="1"/>
  <c r="G18" i="6"/>
  <c r="J18" i="6"/>
  <c r="J42" i="6" s="1"/>
  <c r="H42" i="6"/>
  <c r="E18" i="6"/>
  <c r="E42" i="6" s="1"/>
  <c r="C42" i="6"/>
  <c r="C18" i="6"/>
  <c r="K42" i="6"/>
  <c r="D19" i="6"/>
  <c r="G42" i="6"/>
  <c r="F19" i="6"/>
  <c r="F26" i="6"/>
  <c r="D26" i="6" s="1"/>
  <c r="M20" i="4"/>
  <c r="M19" i="4" s="1"/>
  <c r="M18" i="4" s="1"/>
  <c r="O21" i="4"/>
  <c r="O20" i="4" s="1"/>
  <c r="O19" i="4" s="1"/>
  <c r="N23" i="4"/>
  <c r="J20" i="4"/>
  <c r="J19" i="4" s="1"/>
  <c r="J18" i="4" s="1"/>
  <c r="R20" i="4"/>
  <c r="R19" i="4" s="1"/>
  <c r="N45" i="4"/>
  <c r="E58" i="4"/>
  <c r="N59" i="4"/>
  <c r="R59" i="4"/>
  <c r="R58" i="4" s="1"/>
  <c r="N73" i="4"/>
  <c r="G34" i="4"/>
  <c r="G18" i="4" s="1"/>
  <c r="N38" i="4"/>
  <c r="N63" i="4"/>
  <c r="P65" i="4"/>
  <c r="N65" i="4"/>
  <c r="H18" i="4"/>
  <c r="E21" i="4"/>
  <c r="N22" i="4"/>
  <c r="N37" i="4"/>
  <c r="E30" i="4"/>
  <c r="F34" i="4"/>
  <c r="F18" i="4" s="1"/>
  <c r="N61" i="4"/>
  <c r="P68" i="4"/>
  <c r="I21" i="4"/>
  <c r="I20" i="4" s="1"/>
  <c r="I19" i="4" s="1"/>
  <c r="E28" i="4"/>
  <c r="Q36" i="4"/>
  <c r="Q35" i="4" s="1"/>
  <c r="Q34" i="4" s="1"/>
  <c r="Q18" i="4" s="1"/>
  <c r="D36" i="4"/>
  <c r="D35" i="4" s="1"/>
  <c r="P36" i="4"/>
  <c r="P35" i="4" s="1"/>
  <c r="O53" i="4"/>
  <c r="P66" i="4"/>
  <c r="E69" i="4"/>
  <c r="N70" i="4"/>
  <c r="N74" i="4"/>
  <c r="I36" i="4"/>
  <c r="I35" i="4" s="1"/>
  <c r="M36" i="4"/>
  <c r="M35" i="4" s="1"/>
  <c r="M34" i="4" s="1"/>
  <c r="R38" i="4"/>
  <c r="R36" i="4" s="1"/>
  <c r="R35" i="4" s="1"/>
  <c r="R34" i="4" s="1"/>
  <c r="O52" i="4"/>
  <c r="E56" i="4"/>
  <c r="I54" i="4"/>
  <c r="N68" i="4"/>
  <c r="D69" i="4"/>
  <c r="N31" i="4"/>
  <c r="N30" i="4" s="1"/>
  <c r="E39" i="4"/>
  <c r="N41" i="4"/>
  <c r="P51" i="4"/>
  <c r="N55" i="4"/>
  <c r="N57" i="4"/>
  <c r="N66" i="4"/>
  <c r="G69" i="4"/>
  <c r="P69" i="4"/>
  <c r="N72" i="4"/>
  <c r="F18" i="6" l="1"/>
  <c r="F42" i="6" s="1"/>
  <c r="D18" i="6"/>
  <c r="D42" i="6" s="1"/>
  <c r="N21" i="4"/>
  <c r="N39" i="4"/>
  <c r="P56" i="4"/>
  <c r="P54" i="4" s="1"/>
  <c r="N56" i="4"/>
  <c r="N54" i="4" s="1"/>
  <c r="N69" i="4"/>
  <c r="N28" i="4"/>
  <c r="N27" i="4" s="1"/>
  <c r="N20" i="4" s="1"/>
  <c r="N19" i="4" s="1"/>
  <c r="E27" i="4"/>
  <c r="E20" i="4" s="1"/>
  <c r="E19" i="4" s="1"/>
  <c r="E18" i="4" s="1"/>
  <c r="R18" i="4"/>
  <c r="O51" i="4"/>
  <c r="O35" i="4" s="1"/>
  <c r="O34" i="4" s="1"/>
  <c r="O18" i="4" s="1"/>
  <c r="D34" i="4"/>
  <c r="D18" i="4" s="1"/>
  <c r="I18" i="4"/>
  <c r="E36" i="4"/>
  <c r="E35" i="4" s="1"/>
  <c r="E34" i="4" s="1"/>
  <c r="N58" i="4"/>
  <c r="I34" i="4"/>
  <c r="E54" i="4"/>
  <c r="N36" i="4"/>
  <c r="N35" i="4" s="1"/>
  <c r="P58" i="4"/>
  <c r="P34" i="4" s="1"/>
  <c r="P18" i="4" s="1"/>
  <c r="N34" i="4" l="1"/>
  <c r="N18" i="4" s="1"/>
</calcChain>
</file>

<file path=xl/sharedStrings.xml><?xml version="1.0" encoding="utf-8"?>
<sst xmlns="http://schemas.openxmlformats.org/spreadsheetml/2006/main" count="257" uniqueCount="195">
  <si>
    <t>к приказу Минэнерго России</t>
  </si>
  <si>
    <t>Утверждаю</t>
  </si>
  <si>
    <t>руководитель организации</t>
  </si>
  <si>
    <t>(подпись)</t>
  </si>
  <si>
    <t>М.П.</t>
  </si>
  <si>
    <t>№№</t>
  </si>
  <si>
    <t>Наименование объекта</t>
  </si>
  <si>
    <t xml:space="preserve">Остаток стоимости на начало года * </t>
  </si>
  <si>
    <t>Объем финансирования
 [отчетный год]</t>
  </si>
  <si>
    <t>Освоено 
(закрыто актами 
выполненных работ)
млн.рублей</t>
  </si>
  <si>
    <t>Введено оформлено актами ввода в эксплуатацию)
млн.рублей</t>
  </si>
  <si>
    <t>Осталось профинансировать по результатам отчетного периода *</t>
  </si>
  <si>
    <t>Отклонение ***</t>
  </si>
  <si>
    <t>Причины отклонений</t>
  </si>
  <si>
    <t>1 кв</t>
  </si>
  <si>
    <t>2 кв</t>
  </si>
  <si>
    <t>3 кв</t>
  </si>
  <si>
    <t>4 кв</t>
  </si>
  <si>
    <t>млн.рублей</t>
  </si>
  <si>
    <t>%</t>
  </si>
  <si>
    <t>в том числе за счет</t>
  </si>
  <si>
    <t>план**</t>
  </si>
  <si>
    <t>факт***</t>
  </si>
  <si>
    <t>план</t>
  </si>
  <si>
    <t>факт</t>
  </si>
  <si>
    <t>всего</t>
  </si>
  <si>
    <t>за отчетный 
квартал</t>
  </si>
  <si>
    <t>за отчетный квартал</t>
  </si>
  <si>
    <t>уточнения стоимости по результатам утвержденной ПСД</t>
  </si>
  <si>
    <t>уточнения стоимости по результатм закупочных процедур</t>
  </si>
  <si>
    <t xml:space="preserve">ВСЕГО, </t>
  </si>
  <si>
    <t>Техническое перевооружение и реконструкция</t>
  </si>
  <si>
    <t>1.1.</t>
  </si>
  <si>
    <t>Энергосбережение и повышение энергетической эффективности</t>
  </si>
  <si>
    <t>ТП-10/0,4 кВ</t>
  </si>
  <si>
    <t>1.1.1</t>
  </si>
  <si>
    <t>1.1.2</t>
  </si>
  <si>
    <t>Реконструкция ТП</t>
  </si>
  <si>
    <t>ВЛ-0,4 кВ</t>
  </si>
  <si>
    <t>Реконструкция РП-10 кВ</t>
  </si>
  <si>
    <t>1.2.</t>
  </si>
  <si>
    <t>Создание систем противоаварийной и режимной автоматики</t>
  </si>
  <si>
    <t>1.3.</t>
  </si>
  <si>
    <t xml:space="preserve">Создание систем телемеханики  и связи </t>
  </si>
  <si>
    <t>1.3.1</t>
  </si>
  <si>
    <t>Модернизация АИИС КУЭ нижнего уровня</t>
  </si>
  <si>
    <t>1.4.</t>
  </si>
  <si>
    <t>Установка устройств регулирования напряжения и компенсации реактивной мощности</t>
  </si>
  <si>
    <t>2.</t>
  </si>
  <si>
    <t>Новое строительство</t>
  </si>
  <si>
    <t>2.1.</t>
  </si>
  <si>
    <t>КЛ-10 кВ</t>
  </si>
  <si>
    <t>2.1.1</t>
  </si>
  <si>
    <t>2.1.2</t>
  </si>
  <si>
    <t>2.1.3</t>
  </si>
  <si>
    <t>2.1.4</t>
  </si>
  <si>
    <t>2.1.5</t>
  </si>
  <si>
    <t>2.1.6</t>
  </si>
  <si>
    <t>2.1.7</t>
  </si>
  <si>
    <t>Нов. строительство КЛ-10 кВ ГПП Заягорба</t>
  </si>
  <si>
    <t>2.1.8</t>
  </si>
  <si>
    <t>2.1.9</t>
  </si>
  <si>
    <t>2.1.10</t>
  </si>
  <si>
    <t>2.1.11</t>
  </si>
  <si>
    <t>2.1.12</t>
  </si>
  <si>
    <t>2.1.13</t>
  </si>
  <si>
    <t>2.1.14</t>
  </si>
  <si>
    <t>РП</t>
  </si>
  <si>
    <t>КЛ-0,4 кВ</t>
  </si>
  <si>
    <t>2.2.</t>
  </si>
  <si>
    <t>Прочее новое строительство</t>
  </si>
  <si>
    <t>2.2.1</t>
  </si>
  <si>
    <t>2.2.2</t>
  </si>
  <si>
    <t>Развитие и поддержание в работоспособном состоянии  информационой системы предприятия</t>
  </si>
  <si>
    <t>2.2.3</t>
  </si>
  <si>
    <t>2.2.4</t>
  </si>
  <si>
    <t>2.2.5</t>
  </si>
  <si>
    <t>Внедрение интегрированной системы охраны объектов электросетевого хозяйства предприятия</t>
  </si>
  <si>
    <t>2.2.6</t>
  </si>
  <si>
    <t>2.2.7</t>
  </si>
  <si>
    <t>2.3.</t>
  </si>
  <si>
    <t>Приобретение автотранспорта</t>
  </si>
  <si>
    <t>2.3.1</t>
  </si>
  <si>
    <t>2.3.2</t>
  </si>
  <si>
    <t>2.3.3</t>
  </si>
  <si>
    <t>ГАЗ - 27527</t>
  </si>
  <si>
    <t>2.4.</t>
  </si>
  <si>
    <t>2.5.</t>
  </si>
  <si>
    <t>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t>
  </si>
  <si>
    <t>2.6.</t>
  </si>
  <si>
    <t>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от 15 кВт</t>
  </si>
  <si>
    <t>Справочно:</t>
  </si>
  <si>
    <t>Оплата процентов за привлеченные кредитные ресурсы</t>
  </si>
  <si>
    <t>* - в ценах отчетного года</t>
  </si>
  <si>
    <t>** - план, согласно утвержденной инвестиционной программе</t>
  </si>
  <si>
    <t>*** - накопленным итогом за год</t>
  </si>
  <si>
    <t>Примечание: для сетевых объектов с разделением объектов на ПС, ВЛ и КЛ</t>
  </si>
  <si>
    <t>Отчет об исполнении инвестиционной программы, млн. рублей с НДС
(представляется ежегодно)</t>
  </si>
  <si>
    <t>Приложение  №  6.1</t>
  </si>
  <si>
    <t>от «24»марта 2010 г. №114</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</si>
  <si>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</si>
  <si>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</si>
  <si>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</si>
  <si>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</si>
  <si>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</si>
  <si>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</si>
  <si>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</si>
  <si>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</si>
  <si>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</si>
  <si>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</si>
  <si>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</si>
  <si>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</si>
  <si>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</si>
  <si>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</si>
  <si>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</si>
  <si>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ТП от 15 кВ и выше (не включено в план инвестиций)</t>
  </si>
  <si>
    <t>1.1.4.</t>
  </si>
  <si>
    <t>Прочая прибыль (выпадающие доходы)</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</si>
  <si>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</si>
  <si>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</si>
  <si>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</si>
  <si>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</si>
  <si>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</si>
  <si>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</si>
  <si>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</si>
  <si>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</si>
  <si>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</si>
  <si>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</si>
  <si>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</si>
  <si>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</si>
  <si>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Остаток собственных средств на начало года</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</si>
  <si>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</si>
  <si>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</si>
  <si>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</si>
  <si>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</si>
  <si>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</si>
  <si>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</si>
  <si>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</si>
  <si>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2.7.</t>
  </si>
  <si>
    <t>Прочие привлеченные средства</t>
  </si>
  <si>
    <t>ВСЕГО источников финансирования</t>
  </si>
  <si>
    <t>для ОГК/ТГК, в том числе</t>
  </si>
  <si>
    <t>ДПМ</t>
  </si>
  <si>
    <t>вне ДПМ</t>
  </si>
  <si>
    <t>* план в соответствии с утвержденной инвестиционной программой</t>
  </si>
  <si>
    <t>** накопленным итогом за год</t>
  </si>
  <si>
    <t>Приложение  № 6.2</t>
  </si>
  <si>
    <t>«___» _________ 20__ года</t>
  </si>
  <si>
    <t>Отчет об источниках финансирования инвестиционных программ, млн. рублей 
(представляется ежегодно)</t>
  </si>
  <si>
    <t>Отчет о вводах/выводах объектов (представляется ежегодно)</t>
  </si>
  <si>
    <t>Приложение  № 6.3</t>
  </si>
  <si>
    <t>Вывод мощностей</t>
  </si>
  <si>
    <t>МВт, Гкал/час, км,</t>
  </si>
  <si>
    <t>Ввод мощностей</t>
  </si>
  <si>
    <t>2016 год</t>
  </si>
  <si>
    <t>«___»________ 20__ года</t>
  </si>
  <si>
    <t>Реконструкция РП с заменой вводных и секционного МВ на ВВ, реконструкция схемы РЗА</t>
  </si>
  <si>
    <t>1.3.2</t>
  </si>
  <si>
    <t>Нов.стр-во АИИС КУЭ "Меркурий"</t>
  </si>
  <si>
    <t>Нов. строительство каб.блок к ПС "Южная"</t>
  </si>
  <si>
    <t>Нов. строительство КЛ-10 кВ мкр.126 в восточной части ЗШК</t>
  </si>
  <si>
    <t>Нов. строительство КЛ-10 кВ РП-8 - ТП-207, РП-8 - ТП-133 из зоны строительства в р-не ул. Гоголя,54</t>
  </si>
  <si>
    <t>Нов. строительство КЛ-10 кВ ГПП-9 - РП-17</t>
  </si>
  <si>
    <t>Нов. строит-во БКТП-150А до ТП-150 в ЗШК</t>
  </si>
  <si>
    <t>Нов. строит-во РП-27а-БКТП-1063</t>
  </si>
  <si>
    <t>Нов. строит-во РП-27а-БКТП-100А</t>
  </si>
  <si>
    <t>Нов. строительство КЛ-10 кВ ТП-805 - ТП-73</t>
  </si>
  <si>
    <t>Нов. Строительство ТП-10/0,4кВ для эл.снабж.126 мкр</t>
  </si>
  <si>
    <t>Нов. строит-во РП в 108 мкр.</t>
  </si>
  <si>
    <t>Нов.строительство ВЛ-0,4кВ ул. Якунинская мкр 126 малоэтажная застройка</t>
  </si>
  <si>
    <t>Нов.строительство ВЛ-0,4кВ РУ-0,4кВ ТП-9А по ул. Осенней в п. Кадуй</t>
  </si>
  <si>
    <t>Нов.строительство ВЛ-0,4кВ ТП-57 с тер-ии ж/д ул. Мелиоративная 26А</t>
  </si>
  <si>
    <t>Охранная сигнализация кабельного тоннеля по Октябрьскому проспекту</t>
  </si>
  <si>
    <t>Освещение кабельного тонеля по Октябрьскому проспекту</t>
  </si>
  <si>
    <t>Единая автоматизированная система технологического управления электросетевым комплексом</t>
  </si>
  <si>
    <t>Реконструкция здания Шекснинский пр.27а дисп.комплекс</t>
  </si>
  <si>
    <t>Монтаж автоматической системы пожаротушения</t>
  </si>
  <si>
    <t>2.2.8</t>
  </si>
  <si>
    <t>Прочее (приобретение эл.оборудования)</t>
  </si>
  <si>
    <t>2.2.9</t>
  </si>
  <si>
    <t>Реконструкция ТП-839 (дренаж)</t>
  </si>
  <si>
    <t>2.2.10</t>
  </si>
  <si>
    <t>Охранно-пожарная сигнализация в камерах от ГПП "Искра"</t>
  </si>
  <si>
    <t>Ш.Нива (УАЗ-3163)</t>
  </si>
  <si>
    <t>Форд Фокус (Hyundai Elantra)</t>
  </si>
  <si>
    <t>ВВ-10кВ 8шт</t>
  </si>
  <si>
    <t>2016 всего</t>
  </si>
  <si>
    <t>1ЩО-70 на ТП-113; 1КСО на ТП-84; 1РТУ на ТП-31</t>
  </si>
  <si>
    <t>0,8 МВт</t>
  </si>
  <si>
    <t>43 ед</t>
  </si>
  <si>
    <t>1 ед</t>
  </si>
  <si>
    <t>3 ед</t>
  </si>
  <si>
    <t>1 шт</t>
  </si>
  <si>
    <t>2БКТП10/0,4 кВ 1 шт; 0,81 км КЛ-10кВ; 1,255км КЛ-0,4кВ; 5,731 км ВЛ-0,4 кВ</t>
  </si>
  <si>
    <t>АВВГ 1,255км; СИП 5,731км; ААШВ 0,81км; БКТП 1шт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</si>
</sst>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1"/>
      <color theme="1"/>
      <name val="Calibri"/>
      <family val="2"/>
      <scheme val="minor"/>
    </font>
    <font>
      <sz val="12"/>
      <name val="Times New Roman"/>
      <family val="1"/>
      <charset val="204"/>
    </font>
    <font>
      <u/>
      <sz val="12"/>
      <name val="Times New Roman"/>
      <family val="1"/>
      <charset val="204"/>
    </font>
    <font>
      <b/>
      <sz val="12"/>
      <name val="Times New Roman"/>
      <family val="1"/>
      <charset val="204"/>
    </font>
    <font>
      <sz val="10"/>
      <name val="Arial Cyr"/>
      <charset val="204"/>
    </font>
    <font>
      <b/>
      <sz val="10"/>
      <name val="Times New Roman"/>
      <family val="1"/>
      <charset val="204"/>
    </font>
    <font>
      <sz val="10"/>
      <name val="Times New Roman"/>
      <family val="1"/>
      <charset val="204"/>
    </font>
    <font>
      <b/>
      <i/>
      <sz val="10"/>
      <name val="Times New Roman"/>
      <family val="1"/>
      <charset val="204"/>
    </font>
    <font>
      <b/>
      <sz val="12"/>
      <color theme="1"/>
      <name val="Times New Roman"/>
      <family val="1"/>
      <charset val="204"/>
    </font>
    <font>
      <sz val="12"/>
      <name val="Times New Roman"/>
      <family val="1"/>
      <charset val="204"/>
    </font>
    <font>
      <sz val="12"/>
      <color rgb="FFFF000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9">
    <xf numFmtId="0" fontId="0" fillId="0" borderId="0"/>
    <xf numFmtId="0" fontId="4" fillId="0" borderId="0"/>
    <xf numFmtId="0" fontId="4" fillId="0" borderId="0"/>
    <xf numFmtId="0" fontId="9" fillId="0" borderId="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3" fillId="4" borderId="23" applyNumberFormat="0" applyAlignment="0" applyProtection="0"/>
    <xf numFmtId="0" fontId="14" fillId="11" borderId="24" applyNumberFormat="0" applyAlignment="0" applyProtection="0"/>
    <xf numFmtId="0" fontId="15" fillId="11" borderId="23" applyNumberFormat="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19" fillId="0" borderId="28" applyNumberFormat="0" applyFill="0" applyAlignment="0" applyProtection="0"/>
    <xf numFmtId="0" fontId="20" fillId="12" borderId="2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1" fillId="0" borderId="0"/>
    <xf numFmtId="0" fontId="1" fillId="0" borderId="0"/>
    <xf numFmtId="0" fontId="23" fillId="2" borderId="0" applyNumberFormat="0" applyBorder="0" applyAlignment="0" applyProtection="0"/>
    <xf numFmtId="0" fontId="24" fillId="0" borderId="0" applyNumberFormat="0" applyFill="0" applyBorder="0" applyAlignment="0" applyProtection="0"/>
    <xf numFmtId="0" fontId="11" fillId="14" borderId="30" applyNumberFormat="0" applyFont="0" applyAlignment="0" applyProtection="0"/>
    <xf numFmtId="0" fontId="25" fillId="0" borderId="31"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cellStyleXfs>
  <cellXfs count="132">
    <xf numFmtId="0" fontId="0" fillId="0" borderId="0" xfId="0"/>
    <xf numFmtId="0" fontId="1" fillId="0" borderId="0" xfId="0" applyFont="1"/>
    <xf numFmtId="0" fontId="1" fillId="0" borderId="0" xfId="0" applyFont="1" applyAlignment="1">
      <alignment horizontal="right"/>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4" fontId="1" fillId="0" borderId="5"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16" fontId="5" fillId="0" borderId="4" xfId="1" applyNumberFormat="1" applyFont="1" applyFill="1" applyBorder="1" applyAlignment="1">
      <alignment horizontal="center" vertical="center" wrapText="1"/>
    </xf>
    <xf numFmtId="0" fontId="5" fillId="0" borderId="5" xfId="2" applyFont="1" applyFill="1" applyBorder="1" applyAlignment="1">
      <alignment vertical="center" wrapText="1"/>
    </xf>
    <xf numFmtId="0" fontId="1" fillId="0" borderId="5" xfId="1" applyFont="1" applyFill="1" applyBorder="1" applyAlignment="1">
      <alignment horizontal="left" vertical="center" wrapText="1"/>
    </xf>
    <xf numFmtId="49" fontId="6" fillId="0" borderId="4" xfId="1" applyNumberFormat="1" applyFont="1" applyFill="1" applyBorder="1" applyAlignment="1">
      <alignment horizontal="center" vertical="center" wrapText="1"/>
    </xf>
    <xf numFmtId="0" fontId="6" fillId="0" borderId="5" xfId="1" applyFont="1" applyFill="1" applyBorder="1" applyAlignment="1">
      <alignment vertical="center" wrapText="1"/>
    </xf>
    <xf numFmtId="164" fontId="1" fillId="0" borderId="5" xfId="1" applyNumberFormat="1" applyFont="1" applyFill="1" applyBorder="1" applyAlignment="1">
      <alignment horizontal="center" vertical="center" wrapText="1"/>
    </xf>
    <xf numFmtId="0" fontId="6" fillId="0" borderId="5" xfId="1" applyFont="1" applyFill="1" applyBorder="1" applyAlignment="1">
      <alignment horizontal="left" vertical="center" wrapText="1"/>
    </xf>
    <xf numFmtId="0" fontId="5" fillId="0" borderId="5" xfId="1" applyFont="1" applyFill="1" applyBorder="1" applyAlignment="1">
      <alignment horizontal="left" vertical="center" wrapText="1"/>
    </xf>
    <xf numFmtId="49" fontId="5" fillId="0" borderId="4" xfId="1" applyNumberFormat="1" applyFont="1" applyFill="1" applyBorder="1" applyAlignment="1">
      <alignment horizontal="center" vertical="center" wrapText="1"/>
    </xf>
    <xf numFmtId="0" fontId="5" fillId="0" borderId="5" xfId="1" applyFont="1" applyFill="1" applyBorder="1" applyAlignment="1">
      <alignment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1" fillId="0" borderId="8" xfId="1" applyFont="1" applyFill="1" applyBorder="1" applyAlignment="1">
      <alignment horizontal="left" vertical="center" wrapText="1"/>
    </xf>
    <xf numFmtId="4" fontId="1" fillId="0" borderId="8" xfId="1"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0" xfId="0" applyFont="1" applyFill="1"/>
    <xf numFmtId="0" fontId="1" fillId="0" borderId="0" xfId="0" applyFont="1" applyFill="1" applyAlignment="1">
      <alignment horizontal="right"/>
    </xf>
    <xf numFmtId="0" fontId="3" fillId="0" borderId="0" xfId="0" applyFont="1" applyFill="1" applyAlignment="1">
      <alignment horizontal="center"/>
    </xf>
    <xf numFmtId="0" fontId="3" fillId="0" borderId="0" xfId="0" applyFont="1" applyAlignment="1">
      <alignment horizontal="center"/>
    </xf>
    <xf numFmtId="2" fontId="2" fillId="0" borderId="0" xfId="0" applyNumberFormat="1" applyFont="1" applyFill="1" applyAlignment="1">
      <alignment horizontal="right" vertical="top" wrapText="1"/>
    </xf>
    <xf numFmtId="0" fontId="3" fillId="0" borderId="0" xfId="0" applyFont="1" applyAlignment="1"/>
    <xf numFmtId="0" fontId="8" fillId="0" borderId="14" xfId="0" applyFont="1" applyBorder="1" applyAlignment="1">
      <alignment horizontal="center" vertical="center"/>
    </xf>
    <xf numFmtId="0" fontId="8" fillId="0" borderId="14" xfId="0" applyFont="1" applyBorder="1" applyAlignment="1">
      <alignment horizontal="center"/>
    </xf>
    <xf numFmtId="16" fontId="5"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5" xfId="1" applyFont="1" applyBorder="1" applyAlignment="1">
      <alignment horizontal="center" vertical="center" wrapText="1"/>
    </xf>
    <xf numFmtId="4" fontId="3" fillId="0" borderId="5" xfId="1" applyNumberFormat="1" applyFont="1" applyFill="1" applyBorder="1" applyAlignment="1">
      <alignment horizontal="center" vertical="center" wrapText="1"/>
    </xf>
    <xf numFmtId="0" fontId="1" fillId="0" borderId="0" xfId="3" applyFont="1"/>
    <xf numFmtId="4" fontId="1" fillId="0" borderId="0" xfId="3" applyNumberFormat="1" applyFont="1" applyAlignment="1">
      <alignment horizontal="center" vertical="center"/>
    </xf>
    <xf numFmtId="164" fontId="1" fillId="0" borderId="0" xfId="3" applyNumberFormat="1" applyFont="1" applyAlignment="1">
      <alignment horizontal="center" vertical="center"/>
    </xf>
    <xf numFmtId="4" fontId="10" fillId="0" borderId="0" xfId="3" applyNumberFormat="1" applyFont="1"/>
    <xf numFmtId="4" fontId="10" fillId="0" borderId="0" xfId="3" applyNumberFormat="1" applyFont="1" applyFill="1"/>
    <xf numFmtId="4" fontId="1" fillId="0" borderId="0" xfId="3" applyNumberFormat="1" applyFont="1"/>
    <xf numFmtId="0" fontId="1" fillId="0" borderId="0" xfId="3" applyFont="1" applyAlignment="1">
      <alignment horizontal="right"/>
    </xf>
    <xf numFmtId="2" fontId="2" fillId="0" borderId="0" xfId="3" applyNumberFormat="1" applyFont="1" applyAlignment="1">
      <alignment horizontal="right" vertical="top" wrapText="1"/>
    </xf>
    <xf numFmtId="0" fontId="3" fillId="0" borderId="0" xfId="3" applyFont="1"/>
    <xf numFmtId="164" fontId="3" fillId="0" borderId="5" xfId="1" applyNumberFormat="1" applyFont="1" applyBorder="1" applyAlignment="1">
      <alignment horizontal="center" vertical="center" wrapText="1"/>
    </xf>
    <xf numFmtId="164" fontId="3" fillId="0" borderId="5" xfId="1" applyNumberFormat="1" applyFont="1" applyFill="1" applyBorder="1" applyAlignment="1">
      <alignment horizontal="center" vertical="center" wrapText="1"/>
    </xf>
    <xf numFmtId="4" fontId="10" fillId="0" borderId="5" xfId="1" applyNumberFormat="1" applyFont="1" applyFill="1" applyBorder="1" applyAlignment="1">
      <alignment horizontal="center" vertical="center" wrapText="1"/>
    </xf>
    <xf numFmtId="164" fontId="1" fillId="0" borderId="8" xfId="1" applyNumberFormat="1" applyFont="1" applyFill="1" applyBorder="1" applyAlignment="1">
      <alignment horizontal="center" vertical="center" wrapText="1"/>
    </xf>
    <xf numFmtId="4" fontId="10" fillId="0" borderId="8" xfId="1" applyNumberFormat="1" applyFont="1" applyFill="1" applyBorder="1" applyAlignment="1">
      <alignment horizontal="center" vertical="center" wrapText="1"/>
    </xf>
    <xf numFmtId="0" fontId="3" fillId="0" borderId="0" xfId="3" applyFont="1" applyAlignment="1">
      <alignment horizontal="center"/>
    </xf>
    <xf numFmtId="4" fontId="3" fillId="0" borderId="14" xfId="3" applyNumberFormat="1" applyFont="1" applyFill="1" applyBorder="1" applyAlignment="1">
      <alignment horizontal="center" vertical="center" wrapText="1"/>
    </xf>
    <xf numFmtId="4" fontId="1" fillId="0" borderId="14" xfId="3" applyNumberFormat="1" applyFont="1" applyFill="1" applyBorder="1" applyAlignment="1">
      <alignment horizontal="center" vertical="center" wrapText="1"/>
    </xf>
    <xf numFmtId="0" fontId="1" fillId="0" borderId="14" xfId="3" applyFont="1" applyBorder="1"/>
    <xf numFmtId="0" fontId="1" fillId="0" borderId="15" xfId="3" applyFont="1" applyBorder="1"/>
    <xf numFmtId="4" fontId="1" fillId="0" borderId="14" xfId="3" applyNumberFormat="1" applyFont="1" applyBorder="1" applyAlignment="1">
      <alignment horizontal="center" vertical="center"/>
    </xf>
    <xf numFmtId="0" fontId="1" fillId="0" borderId="14" xfId="3" applyFont="1" applyFill="1" applyBorder="1" applyAlignment="1">
      <alignment horizontal="left" vertical="center" wrapText="1"/>
    </xf>
    <xf numFmtId="0" fontId="3" fillId="0" borderId="0" xfId="3" applyFont="1" applyAlignment="1">
      <alignment horizontal="right"/>
    </xf>
    <xf numFmtId="0" fontId="3" fillId="0" borderId="17" xfId="3" applyFont="1" applyBorder="1" applyAlignment="1">
      <alignment horizontal="center" vertical="center" wrapText="1"/>
    </xf>
    <xf numFmtId="0" fontId="3" fillId="0" borderId="19" xfId="3" applyFont="1" applyFill="1" applyBorder="1" applyAlignment="1">
      <alignment horizontal="center" vertical="center" wrapText="1"/>
    </xf>
    <xf numFmtId="0" fontId="3" fillId="0" borderId="20" xfId="3" applyFont="1" applyFill="1" applyBorder="1" applyAlignment="1">
      <alignment horizontal="left" vertical="center" wrapText="1"/>
    </xf>
    <xf numFmtId="4" fontId="3" fillId="0" borderId="20" xfId="3" applyNumberFormat="1"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0" xfId="3" applyFont="1" applyBorder="1" applyAlignment="1">
      <alignment horizontal="center" vertical="center" wrapText="1"/>
    </xf>
    <xf numFmtId="0" fontId="1" fillId="0" borderId="13" xfId="3" applyFont="1" applyFill="1" applyBorder="1" applyAlignment="1">
      <alignment horizontal="center" vertical="center"/>
    </xf>
    <xf numFmtId="0" fontId="1" fillId="0" borderId="15" xfId="3" applyFont="1" applyFill="1" applyBorder="1"/>
    <xf numFmtId="0" fontId="1" fillId="0" borderId="15" xfId="3" applyFont="1" applyFill="1" applyBorder="1" applyAlignment="1">
      <alignment wrapText="1"/>
    </xf>
    <xf numFmtId="0" fontId="1" fillId="0" borderId="16" xfId="3" applyFont="1" applyFill="1" applyBorder="1" applyAlignment="1">
      <alignment horizontal="center" vertical="center"/>
    </xf>
    <xf numFmtId="0" fontId="1" fillId="0" borderId="17" xfId="3" applyFont="1" applyFill="1" applyBorder="1" applyAlignment="1">
      <alignment horizontal="left" vertical="center" wrapText="1"/>
    </xf>
    <xf numFmtId="4" fontId="1" fillId="0" borderId="17" xfId="3" applyNumberFormat="1" applyFont="1" applyFill="1" applyBorder="1" applyAlignment="1">
      <alignment horizontal="center" vertical="center" wrapText="1"/>
    </xf>
    <xf numFmtId="0" fontId="1" fillId="0" borderId="18" xfId="3" applyFont="1" applyFill="1" applyBorder="1"/>
    <xf numFmtId="0" fontId="3" fillId="0" borderId="19" xfId="3" applyFont="1" applyFill="1" applyBorder="1" applyAlignment="1">
      <alignment horizontal="center" vertical="center"/>
    </xf>
    <xf numFmtId="4" fontId="3" fillId="0" borderId="11" xfId="3" applyNumberFormat="1" applyFont="1" applyFill="1" applyBorder="1" applyAlignment="1">
      <alignment horizontal="center" vertical="center"/>
    </xf>
    <xf numFmtId="0" fontId="3" fillId="0" borderId="21" xfId="3" applyFont="1" applyFill="1" applyBorder="1"/>
    <xf numFmtId="0" fontId="1" fillId="0" borderId="13" xfId="3" applyNumberFormat="1" applyFont="1" applyFill="1" applyBorder="1" applyAlignment="1">
      <alignment horizontal="center" vertical="center"/>
    </xf>
    <xf numFmtId="4" fontId="1" fillId="0" borderId="14" xfId="3" applyNumberFormat="1" applyFont="1" applyFill="1" applyBorder="1" applyAlignment="1">
      <alignment horizontal="center" vertical="center"/>
    </xf>
    <xf numFmtId="4" fontId="1" fillId="0" borderId="22" xfId="3" applyNumberFormat="1" applyFont="1" applyFill="1" applyBorder="1" applyAlignment="1">
      <alignment horizontal="center" vertical="center" wrapText="1"/>
    </xf>
    <xf numFmtId="4" fontId="1" fillId="0" borderId="17" xfId="3" applyNumberFormat="1" applyFont="1" applyFill="1" applyBorder="1" applyAlignment="1">
      <alignment horizontal="center" vertical="center"/>
    </xf>
    <xf numFmtId="4" fontId="1" fillId="0" borderId="17" xfId="3" applyNumberFormat="1" applyFont="1" applyBorder="1" applyAlignment="1">
      <alignment horizontal="center" vertical="center"/>
    </xf>
    <xf numFmtId="0" fontId="1" fillId="0" borderId="18" xfId="3" applyFont="1" applyBorder="1"/>
    <xf numFmtId="0" fontId="3" fillId="0" borderId="19" xfId="3" applyFont="1" applyFill="1" applyBorder="1" applyAlignment="1">
      <alignment horizontal="left" vertical="center"/>
    </xf>
    <xf numFmtId="4" fontId="3" fillId="0" borderId="20" xfId="3" applyNumberFormat="1" applyFont="1" applyFill="1" applyBorder="1" applyAlignment="1">
      <alignment horizontal="center" vertical="center"/>
    </xf>
    <xf numFmtId="0" fontId="3" fillId="0" borderId="21" xfId="3" applyFont="1" applyBorder="1"/>
    <xf numFmtId="0" fontId="1" fillId="0" borderId="13" xfId="3" applyFont="1" applyFill="1" applyBorder="1" applyAlignment="1">
      <alignment horizontal="left" vertical="center"/>
    </xf>
    <xf numFmtId="0" fontId="1" fillId="0" borderId="14" xfId="3" applyFont="1" applyFill="1" applyBorder="1"/>
    <xf numFmtId="0" fontId="1" fillId="0" borderId="14" xfId="3" applyFont="1" applyFill="1" applyBorder="1" applyAlignment="1">
      <alignment horizontal="right" vertical="center" wrapText="1"/>
    </xf>
    <xf numFmtId="0" fontId="1" fillId="0" borderId="16" xfId="3" applyFont="1" applyFill="1" applyBorder="1" applyAlignment="1">
      <alignment horizontal="left" vertical="center"/>
    </xf>
    <xf numFmtId="0" fontId="1" fillId="0" borderId="17" xfId="3" applyFont="1" applyFill="1" applyBorder="1" applyAlignment="1">
      <alignment horizontal="right" vertical="center" wrapText="1"/>
    </xf>
    <xf numFmtId="0" fontId="1" fillId="0" borderId="17" xfId="3" applyFont="1" applyFill="1" applyBorder="1"/>
    <xf numFmtId="0" fontId="1" fillId="0" borderId="17" xfId="3" applyFont="1" applyBorder="1"/>
    <xf numFmtId="0" fontId="1" fillId="0" borderId="0" xfId="3" applyFont="1" applyFill="1" applyBorder="1" applyAlignment="1">
      <alignment horizontal="left" vertical="center"/>
    </xf>
    <xf numFmtId="0" fontId="1" fillId="0" borderId="0" xfId="3" applyFont="1" applyFill="1" applyBorder="1" applyAlignment="1">
      <alignment horizontal="right" vertical="center" wrapText="1"/>
    </xf>
    <xf numFmtId="0" fontId="1" fillId="0" borderId="0" xfId="3" applyFont="1" applyFill="1" applyBorder="1"/>
    <xf numFmtId="0" fontId="1" fillId="0" borderId="0" xfId="3" applyFont="1" applyBorder="1"/>
    <xf numFmtId="0" fontId="1" fillId="0" borderId="0" xfId="3" applyFont="1" applyFill="1" applyBorder="1" applyAlignment="1">
      <alignment horizontal="left" vertical="center" wrapText="1" indent="4"/>
    </xf>
    <xf numFmtId="4" fontId="3" fillId="0" borderId="0" xfId="3" applyNumberFormat="1" applyFont="1" applyBorder="1" applyAlignment="1">
      <alignment horizontal="center" vertical="center" wrapText="1"/>
    </xf>
    <xf numFmtId="0" fontId="1" fillId="0" borderId="0" xfId="3" applyFont="1" applyFill="1" applyBorder="1" applyAlignment="1">
      <alignment horizontal="center" vertical="center" wrapText="1"/>
    </xf>
    <xf numFmtId="2" fontId="1" fillId="0" borderId="0" xfId="3" applyNumberFormat="1" applyFont="1" applyAlignment="1">
      <alignment vertical="top"/>
    </xf>
    <xf numFmtId="49" fontId="1" fillId="0" borderId="0" xfId="3" applyNumberFormat="1" applyFont="1" applyBorder="1" applyAlignment="1">
      <alignment horizontal="left" vertical="top"/>
    </xf>
    <xf numFmtId="2" fontId="1" fillId="0" borderId="0" xfId="3" applyNumberFormat="1" applyFont="1" applyAlignment="1">
      <alignment vertical="top" wrapText="1"/>
    </xf>
    <xf numFmtId="2" fontId="1" fillId="0" borderId="0" xfId="3" applyNumberFormat="1" applyFont="1" applyAlignment="1">
      <alignment horizontal="center" vertical="top" wrapText="1"/>
    </xf>
    <xf numFmtId="2" fontId="1" fillId="0" borderId="0" xfId="3" applyNumberFormat="1" applyFont="1" applyAlignment="1">
      <alignment horizontal="center" vertical="top"/>
    </xf>
    <xf numFmtId="16" fontId="5" fillId="0" borderId="14" xfId="1" applyNumberFormat="1" applyFont="1" applyFill="1" applyBorder="1" applyAlignment="1">
      <alignment horizontal="left" vertical="center" wrapText="1"/>
    </xf>
    <xf numFmtId="0" fontId="3" fillId="0" borderId="5" xfId="1" applyFont="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0" xfId="3" applyFont="1" applyAlignment="1">
      <alignment horizontal="center" wrapText="1"/>
    </xf>
    <xf numFmtId="0" fontId="3" fillId="0" borderId="0" xfId="3" applyFont="1" applyAlignment="1">
      <alignment horizontal="center"/>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4" fontId="3" fillId="0" borderId="2" xfId="1" applyNumberFormat="1" applyFont="1" applyBorder="1" applyAlignment="1">
      <alignment horizontal="center" vertical="center" wrapText="1"/>
    </xf>
    <xf numFmtId="0" fontId="9" fillId="0" borderId="2" xfId="3"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4" xfId="3" applyFont="1" applyBorder="1" applyAlignment="1">
      <alignment horizontal="center" vertical="center" wrapText="1"/>
    </xf>
    <xf numFmtId="0" fontId="3" fillId="0" borderId="0" xfId="3" applyFont="1" applyAlignment="1">
      <alignment horizontal="right"/>
    </xf>
    <xf numFmtId="0" fontId="3" fillId="0" borderId="10"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18" xfId="3" applyFont="1" applyBorder="1" applyAlignment="1">
      <alignment horizontal="center" vertical="center" wrapText="1"/>
    </xf>
    <xf numFmtId="0" fontId="3" fillId="0" borderId="14" xfId="1" applyFont="1" applyBorder="1" applyAlignment="1">
      <alignment horizontal="center" vertical="center" wrapText="1"/>
    </xf>
    <xf numFmtId="0" fontId="8" fillId="0" borderId="14" xfId="0" applyFont="1" applyBorder="1" applyAlignment="1">
      <alignment horizontal="center"/>
    </xf>
    <xf numFmtId="0" fontId="3" fillId="0" borderId="0" xfId="0" applyFont="1" applyAlignment="1">
      <alignment horizontal="center" wrapText="1"/>
    </xf>
  </cellXfs>
  <cellStyles count="29">
    <cellStyle name="Акцент1 2" xfId="4"/>
    <cellStyle name="Акцент2 2" xfId="5"/>
    <cellStyle name="Акцент3 2" xfId="6"/>
    <cellStyle name="Акцент4 2" xfId="7"/>
    <cellStyle name="Акцент5 2" xfId="8"/>
    <cellStyle name="Акцент6 2" xfId="9"/>
    <cellStyle name="Ввод  2" xfId="10"/>
    <cellStyle name="Вывод 2" xfId="11"/>
    <cellStyle name="Вычисление 2" xfId="12"/>
    <cellStyle name="Заголовок 1 2" xfId="13"/>
    <cellStyle name="Заголовок 2 2" xfId="14"/>
    <cellStyle name="Заголовок 3 2" xfId="15"/>
    <cellStyle name="Заголовок 4 2" xfId="16"/>
    <cellStyle name="Итог 2" xfId="17"/>
    <cellStyle name="Контрольная ячейка 2" xfId="18"/>
    <cellStyle name="Название 2" xfId="19"/>
    <cellStyle name="Нейтральный 2" xfId="20"/>
    <cellStyle name="Обычный" xfId="0" builtinId="0"/>
    <cellStyle name="Обычный 2" xfId="1"/>
    <cellStyle name="Обычный 3" xfId="3"/>
    <cellStyle name="Обычный 3 2" xfId="21"/>
    <cellStyle name="Обычный 4" xfId="22"/>
    <cellStyle name="Обычный_Инвестиции Сети Сбыты ЭСО" xfId="2"/>
    <cellStyle name="Плохой 2" xfId="23"/>
    <cellStyle name="Пояснение 2" xfId="24"/>
    <cellStyle name="Примечание 2" xfId="25"/>
    <cellStyle name="Связанная ячейка 2" xfId="26"/>
    <cellStyle name="Текст предупреждения 2" xfId="27"/>
    <cellStyle name="Хороший 2" xfId="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EO\&#1062;&#1074;&#1077;&#1090;&#1082;&#1086;&#1074;&#1072;\2015\&#1056;&#1069;&#1050;%20&#1080;&#1085;&#1074;&#1077;&#1089;&#1090;%202015\4%20&#1082;&#1074;&#1072;&#1088;&#1090;&#1072;&#1083;\&#1053;&#1086;&#1074;&#1072;&#1103;%20&#1087;&#1072;&#1087;&#1082;&#1072;\&#1054;&#1090;&#1095;&#1077;&#1090;%20&#1048;&#1085;&#1074;&#1077;&#1089;&#1090;%20&#1087;&#1088;&#1086;&#1075;&#1088;&#1072;&#1084;&#1084;&#1072;%204%20&#1082;&#107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EO\&#1062;&#1074;&#1077;&#1090;&#1082;&#1086;&#1074;&#1072;\2016\&#1056;&#1069;&#1050;%20&#1080;&#1085;&#1074;&#1077;&#1089;&#1090;\4%20&#1082;&#1074;\&#1054;&#1090;&#1095;&#1077;&#1090;%20&#1048;&#1085;&#1074;&#1077;&#1089;&#1090;%20&#1087;&#1088;&#1086;&#1075;&#1088;&#1072;&#1084;&#1084;&#1072;%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7.1"/>
      <sheetName val="приложение 7.2"/>
      <sheetName val="приложение 8"/>
      <sheetName val="приложение 12"/>
    </sheetNames>
    <sheetDataSet>
      <sheetData sheetId="0">
        <row r="18">
          <cell r="D18">
            <v>163.74904481500178</v>
          </cell>
        </row>
      </sheetData>
      <sheetData sheetId="1" refreshError="1"/>
      <sheetData sheetId="2">
        <row r="4">
          <cell r="M4" t="str">
            <v>от «24»марта 2010 г. №114</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7.1"/>
      <sheetName val="приложение 7.2"/>
      <sheetName val="приложение 8"/>
      <sheetName val="приложение 12"/>
    </sheetNames>
    <sheetDataSet>
      <sheetData sheetId="0">
        <row r="18">
          <cell r="D18">
            <v>193.09873999999996</v>
          </cell>
        </row>
        <row r="73">
          <cell r="D73">
            <v>11.471959999999999</v>
          </cell>
        </row>
      </sheetData>
      <sheetData sheetId="1" refreshError="1"/>
      <sheetData sheetId="2"/>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tabSelected="1" zoomScale="60" zoomScaleNormal="60" workbookViewId="0">
      <selection activeCell="A75" sqref="A75:B75"/>
    </sheetView>
  </sheetViews>
  <sheetFormatPr defaultRowHeight="27.75" customHeight="1" x14ac:dyDescent="0.25"/>
  <cols>
    <col min="1" max="1" width="9.140625" style="39"/>
    <col min="2" max="2" width="42.5703125" style="39" bestFit="1" customWidth="1"/>
    <col min="3" max="3" width="15.28515625" style="39" customWidth="1"/>
    <col min="4" max="4" width="12.42578125" style="40" customWidth="1"/>
    <col min="5" max="5" width="9.140625" style="41"/>
    <col min="6" max="6" width="8.140625" style="40" hidden="1" customWidth="1"/>
    <col min="7" max="10" width="7.28515625" style="40" hidden="1" customWidth="1"/>
    <col min="11" max="11" width="7.85546875" style="40" hidden="1" customWidth="1"/>
    <col min="12" max="12" width="7.28515625" style="40" hidden="1" customWidth="1"/>
    <col min="13" max="13" width="8.28515625" style="40" hidden="1" customWidth="1"/>
    <col min="14" max="14" width="11.140625" style="42" customWidth="1"/>
    <col min="15" max="15" width="12.140625" style="42" customWidth="1"/>
    <col min="16" max="16" width="8.28515625" style="43" customWidth="1"/>
    <col min="17" max="17" width="12.140625" style="42" customWidth="1"/>
    <col min="18" max="18" width="16.7109375" style="44" customWidth="1"/>
    <col min="19" max="19" width="13.42578125" style="44" customWidth="1"/>
    <col min="20" max="20" width="11.28515625" style="40" customWidth="1"/>
    <col min="21" max="21" width="17.28515625" style="40" customWidth="1"/>
    <col min="22" max="22" width="13.7109375" style="40" customWidth="1"/>
    <col min="23" max="23" width="15.140625" style="40" customWidth="1"/>
    <col min="24" max="257" width="9.140625" style="39"/>
    <col min="258" max="258" width="42.5703125" style="39" bestFit="1" customWidth="1"/>
    <col min="259" max="259" width="15.28515625" style="39" customWidth="1"/>
    <col min="260" max="260" width="12.42578125" style="39" customWidth="1"/>
    <col min="261" max="261" width="9.140625" style="39"/>
    <col min="262" max="262" width="8.140625" style="39" customWidth="1"/>
    <col min="263" max="266" width="7.28515625" style="39" customWidth="1"/>
    <col min="267" max="267" width="7.85546875" style="39" customWidth="1"/>
    <col min="268" max="268" width="7.28515625" style="39" customWidth="1"/>
    <col min="269" max="269" width="8.28515625" style="39" customWidth="1"/>
    <col min="270" max="270" width="11.140625" style="39" customWidth="1"/>
    <col min="271" max="271" width="12.140625" style="39" customWidth="1"/>
    <col min="272" max="272" width="8.28515625" style="39" customWidth="1"/>
    <col min="273" max="273" width="12.140625" style="39" customWidth="1"/>
    <col min="274" max="274" width="16.7109375" style="39" customWidth="1"/>
    <col min="275" max="275" width="13.42578125" style="39" customWidth="1"/>
    <col min="276" max="276" width="11.28515625" style="39" customWidth="1"/>
    <col min="277" max="277" width="17.28515625" style="39" customWidth="1"/>
    <col min="278" max="278" width="13.7109375" style="39" customWidth="1"/>
    <col min="279" max="279" width="15.140625" style="39" customWidth="1"/>
    <col min="280" max="513" width="9.140625" style="39"/>
    <col min="514" max="514" width="42.5703125" style="39" bestFit="1" customWidth="1"/>
    <col min="515" max="515" width="15.28515625" style="39" customWidth="1"/>
    <col min="516" max="516" width="12.42578125" style="39" customWidth="1"/>
    <col min="517" max="517" width="9.140625" style="39"/>
    <col min="518" max="518" width="8.140625" style="39" customWidth="1"/>
    <col min="519" max="522" width="7.28515625" style="39" customWidth="1"/>
    <col min="523" max="523" width="7.85546875" style="39" customWidth="1"/>
    <col min="524" max="524" width="7.28515625" style="39" customWidth="1"/>
    <col min="525" max="525" width="8.28515625" style="39" customWidth="1"/>
    <col min="526" max="526" width="11.140625" style="39" customWidth="1"/>
    <col min="527" max="527" width="12.140625" style="39" customWidth="1"/>
    <col min="528" max="528" width="8.28515625" style="39" customWidth="1"/>
    <col min="529" max="529" width="12.140625" style="39" customWidth="1"/>
    <col min="530" max="530" width="16.7109375" style="39" customWidth="1"/>
    <col min="531" max="531" width="13.42578125" style="39" customWidth="1"/>
    <col min="532" max="532" width="11.28515625" style="39" customWidth="1"/>
    <col min="533" max="533" width="17.28515625" style="39" customWidth="1"/>
    <col min="534" max="534" width="13.7109375" style="39" customWidth="1"/>
    <col min="535" max="535" width="15.140625" style="39" customWidth="1"/>
    <col min="536" max="769" width="9.140625" style="39"/>
    <col min="770" max="770" width="42.5703125" style="39" bestFit="1" customWidth="1"/>
    <col min="771" max="771" width="15.28515625" style="39" customWidth="1"/>
    <col min="772" max="772" width="12.42578125" style="39" customWidth="1"/>
    <col min="773" max="773" width="9.140625" style="39"/>
    <col min="774" max="774" width="8.140625" style="39" customWidth="1"/>
    <col min="775" max="778" width="7.28515625" style="39" customWidth="1"/>
    <col min="779" max="779" width="7.85546875" style="39" customWidth="1"/>
    <col min="780" max="780" width="7.28515625" style="39" customWidth="1"/>
    <col min="781" max="781" width="8.28515625" style="39" customWidth="1"/>
    <col min="782" max="782" width="11.140625" style="39" customWidth="1"/>
    <col min="783" max="783" width="12.140625" style="39" customWidth="1"/>
    <col min="784" max="784" width="8.28515625" style="39" customWidth="1"/>
    <col min="785" max="785" width="12.140625" style="39" customWidth="1"/>
    <col min="786" max="786" width="16.7109375" style="39" customWidth="1"/>
    <col min="787" max="787" width="13.42578125" style="39" customWidth="1"/>
    <col min="788" max="788" width="11.28515625" style="39" customWidth="1"/>
    <col min="789" max="789" width="17.28515625" style="39" customWidth="1"/>
    <col min="790" max="790" width="13.7109375" style="39" customWidth="1"/>
    <col min="791" max="791" width="15.140625" style="39" customWidth="1"/>
    <col min="792" max="1025" width="9.140625" style="39"/>
    <col min="1026" max="1026" width="42.5703125" style="39" bestFit="1" customWidth="1"/>
    <col min="1027" max="1027" width="15.28515625" style="39" customWidth="1"/>
    <col min="1028" max="1028" width="12.42578125" style="39" customWidth="1"/>
    <col min="1029" max="1029" width="9.140625" style="39"/>
    <col min="1030" max="1030" width="8.140625" style="39" customWidth="1"/>
    <col min="1031" max="1034" width="7.28515625" style="39" customWidth="1"/>
    <col min="1035" max="1035" width="7.85546875" style="39" customWidth="1"/>
    <col min="1036" max="1036" width="7.28515625" style="39" customWidth="1"/>
    <col min="1037" max="1037" width="8.28515625" style="39" customWidth="1"/>
    <col min="1038" max="1038" width="11.140625" style="39" customWidth="1"/>
    <col min="1039" max="1039" width="12.140625" style="39" customWidth="1"/>
    <col min="1040" max="1040" width="8.28515625" style="39" customWidth="1"/>
    <col min="1041" max="1041" width="12.140625" style="39" customWidth="1"/>
    <col min="1042" max="1042" width="16.7109375" style="39" customWidth="1"/>
    <col min="1043" max="1043" width="13.42578125" style="39" customWidth="1"/>
    <col min="1044" max="1044" width="11.28515625" style="39" customWidth="1"/>
    <col min="1045" max="1045" width="17.28515625" style="39" customWidth="1"/>
    <col min="1046" max="1046" width="13.7109375" style="39" customWidth="1"/>
    <col min="1047" max="1047" width="15.140625" style="39" customWidth="1"/>
    <col min="1048" max="1281" width="9.140625" style="39"/>
    <col min="1282" max="1282" width="42.5703125" style="39" bestFit="1" customWidth="1"/>
    <col min="1283" max="1283" width="15.28515625" style="39" customWidth="1"/>
    <col min="1284" max="1284" width="12.42578125" style="39" customWidth="1"/>
    <col min="1285" max="1285" width="9.140625" style="39"/>
    <col min="1286" max="1286" width="8.140625" style="39" customWidth="1"/>
    <col min="1287" max="1290" width="7.28515625" style="39" customWidth="1"/>
    <col min="1291" max="1291" width="7.85546875" style="39" customWidth="1"/>
    <col min="1292" max="1292" width="7.28515625" style="39" customWidth="1"/>
    <col min="1293" max="1293" width="8.28515625" style="39" customWidth="1"/>
    <col min="1294" max="1294" width="11.140625" style="39" customWidth="1"/>
    <col min="1295" max="1295" width="12.140625" style="39" customWidth="1"/>
    <col min="1296" max="1296" width="8.28515625" style="39" customWidth="1"/>
    <col min="1297" max="1297" width="12.140625" style="39" customWidth="1"/>
    <col min="1298" max="1298" width="16.7109375" style="39" customWidth="1"/>
    <col min="1299" max="1299" width="13.42578125" style="39" customWidth="1"/>
    <col min="1300" max="1300" width="11.28515625" style="39" customWidth="1"/>
    <col min="1301" max="1301" width="17.28515625" style="39" customWidth="1"/>
    <col min="1302" max="1302" width="13.7109375" style="39" customWidth="1"/>
    <col min="1303" max="1303" width="15.140625" style="39" customWidth="1"/>
    <col min="1304" max="1537" width="9.140625" style="39"/>
    <col min="1538" max="1538" width="42.5703125" style="39" bestFit="1" customWidth="1"/>
    <col min="1539" max="1539" width="15.28515625" style="39" customWidth="1"/>
    <col min="1540" max="1540" width="12.42578125" style="39" customWidth="1"/>
    <col min="1541" max="1541" width="9.140625" style="39"/>
    <col min="1542" max="1542" width="8.140625" style="39" customWidth="1"/>
    <col min="1543" max="1546" width="7.28515625" style="39" customWidth="1"/>
    <col min="1547" max="1547" width="7.85546875" style="39" customWidth="1"/>
    <col min="1548" max="1548" width="7.28515625" style="39" customWidth="1"/>
    <col min="1549" max="1549" width="8.28515625" style="39" customWidth="1"/>
    <col min="1550" max="1550" width="11.140625" style="39" customWidth="1"/>
    <col min="1551" max="1551" width="12.140625" style="39" customWidth="1"/>
    <col min="1552" max="1552" width="8.28515625" style="39" customWidth="1"/>
    <col min="1553" max="1553" width="12.140625" style="39" customWidth="1"/>
    <col min="1554" max="1554" width="16.7109375" style="39" customWidth="1"/>
    <col min="1555" max="1555" width="13.42578125" style="39" customWidth="1"/>
    <col min="1556" max="1556" width="11.28515625" style="39" customWidth="1"/>
    <col min="1557" max="1557" width="17.28515625" style="39" customWidth="1"/>
    <col min="1558" max="1558" width="13.7109375" style="39" customWidth="1"/>
    <col min="1559" max="1559" width="15.140625" style="39" customWidth="1"/>
    <col min="1560" max="1793" width="9.140625" style="39"/>
    <col min="1794" max="1794" width="42.5703125" style="39" bestFit="1" customWidth="1"/>
    <col min="1795" max="1795" width="15.28515625" style="39" customWidth="1"/>
    <col min="1796" max="1796" width="12.42578125" style="39" customWidth="1"/>
    <col min="1797" max="1797" width="9.140625" style="39"/>
    <col min="1798" max="1798" width="8.140625" style="39" customWidth="1"/>
    <col min="1799" max="1802" width="7.28515625" style="39" customWidth="1"/>
    <col min="1803" max="1803" width="7.85546875" style="39" customWidth="1"/>
    <col min="1804" max="1804" width="7.28515625" style="39" customWidth="1"/>
    <col min="1805" max="1805" width="8.28515625" style="39" customWidth="1"/>
    <col min="1806" max="1806" width="11.140625" style="39" customWidth="1"/>
    <col min="1807" max="1807" width="12.140625" style="39" customWidth="1"/>
    <col min="1808" max="1808" width="8.28515625" style="39" customWidth="1"/>
    <col min="1809" max="1809" width="12.140625" style="39" customWidth="1"/>
    <col min="1810" max="1810" width="16.7109375" style="39" customWidth="1"/>
    <col min="1811" max="1811" width="13.42578125" style="39" customWidth="1"/>
    <col min="1812" max="1812" width="11.28515625" style="39" customWidth="1"/>
    <col min="1813" max="1813" width="17.28515625" style="39" customWidth="1"/>
    <col min="1814" max="1814" width="13.7109375" style="39" customWidth="1"/>
    <col min="1815" max="1815" width="15.140625" style="39" customWidth="1"/>
    <col min="1816" max="2049" width="9.140625" style="39"/>
    <col min="2050" max="2050" width="42.5703125" style="39" bestFit="1" customWidth="1"/>
    <col min="2051" max="2051" width="15.28515625" style="39" customWidth="1"/>
    <col min="2052" max="2052" width="12.42578125" style="39" customWidth="1"/>
    <col min="2053" max="2053" width="9.140625" style="39"/>
    <col min="2054" max="2054" width="8.140625" style="39" customWidth="1"/>
    <col min="2055" max="2058" width="7.28515625" style="39" customWidth="1"/>
    <col min="2059" max="2059" width="7.85546875" style="39" customWidth="1"/>
    <col min="2060" max="2060" width="7.28515625" style="39" customWidth="1"/>
    <col min="2061" max="2061" width="8.28515625" style="39" customWidth="1"/>
    <col min="2062" max="2062" width="11.140625" style="39" customWidth="1"/>
    <col min="2063" max="2063" width="12.140625" style="39" customWidth="1"/>
    <col min="2064" max="2064" width="8.28515625" style="39" customWidth="1"/>
    <col min="2065" max="2065" width="12.140625" style="39" customWidth="1"/>
    <col min="2066" max="2066" width="16.7109375" style="39" customWidth="1"/>
    <col min="2067" max="2067" width="13.42578125" style="39" customWidth="1"/>
    <col min="2068" max="2068" width="11.28515625" style="39" customWidth="1"/>
    <col min="2069" max="2069" width="17.28515625" style="39" customWidth="1"/>
    <col min="2070" max="2070" width="13.7109375" style="39" customWidth="1"/>
    <col min="2071" max="2071" width="15.140625" style="39" customWidth="1"/>
    <col min="2072" max="2305" width="9.140625" style="39"/>
    <col min="2306" max="2306" width="42.5703125" style="39" bestFit="1" customWidth="1"/>
    <col min="2307" max="2307" width="15.28515625" style="39" customWidth="1"/>
    <col min="2308" max="2308" width="12.42578125" style="39" customWidth="1"/>
    <col min="2309" max="2309" width="9.140625" style="39"/>
    <col min="2310" max="2310" width="8.140625" style="39" customWidth="1"/>
    <col min="2311" max="2314" width="7.28515625" style="39" customWidth="1"/>
    <col min="2315" max="2315" width="7.85546875" style="39" customWidth="1"/>
    <col min="2316" max="2316" width="7.28515625" style="39" customWidth="1"/>
    <col min="2317" max="2317" width="8.28515625" style="39" customWidth="1"/>
    <col min="2318" max="2318" width="11.140625" style="39" customWidth="1"/>
    <col min="2319" max="2319" width="12.140625" style="39" customWidth="1"/>
    <col min="2320" max="2320" width="8.28515625" style="39" customWidth="1"/>
    <col min="2321" max="2321" width="12.140625" style="39" customWidth="1"/>
    <col min="2322" max="2322" width="16.7109375" style="39" customWidth="1"/>
    <col min="2323" max="2323" width="13.42578125" style="39" customWidth="1"/>
    <col min="2324" max="2324" width="11.28515625" style="39" customWidth="1"/>
    <col min="2325" max="2325" width="17.28515625" style="39" customWidth="1"/>
    <col min="2326" max="2326" width="13.7109375" style="39" customWidth="1"/>
    <col min="2327" max="2327" width="15.140625" style="39" customWidth="1"/>
    <col min="2328" max="2561" width="9.140625" style="39"/>
    <col min="2562" max="2562" width="42.5703125" style="39" bestFit="1" customWidth="1"/>
    <col min="2563" max="2563" width="15.28515625" style="39" customWidth="1"/>
    <col min="2564" max="2564" width="12.42578125" style="39" customWidth="1"/>
    <col min="2565" max="2565" width="9.140625" style="39"/>
    <col min="2566" max="2566" width="8.140625" style="39" customWidth="1"/>
    <col min="2567" max="2570" width="7.28515625" style="39" customWidth="1"/>
    <col min="2571" max="2571" width="7.85546875" style="39" customWidth="1"/>
    <col min="2572" max="2572" width="7.28515625" style="39" customWidth="1"/>
    <col min="2573" max="2573" width="8.28515625" style="39" customWidth="1"/>
    <col min="2574" max="2574" width="11.140625" style="39" customWidth="1"/>
    <col min="2575" max="2575" width="12.140625" style="39" customWidth="1"/>
    <col min="2576" max="2576" width="8.28515625" style="39" customWidth="1"/>
    <col min="2577" max="2577" width="12.140625" style="39" customWidth="1"/>
    <col min="2578" max="2578" width="16.7109375" style="39" customWidth="1"/>
    <col min="2579" max="2579" width="13.42578125" style="39" customWidth="1"/>
    <col min="2580" max="2580" width="11.28515625" style="39" customWidth="1"/>
    <col min="2581" max="2581" width="17.28515625" style="39" customWidth="1"/>
    <col min="2582" max="2582" width="13.7109375" style="39" customWidth="1"/>
    <col min="2583" max="2583" width="15.140625" style="39" customWidth="1"/>
    <col min="2584" max="2817" width="9.140625" style="39"/>
    <col min="2818" max="2818" width="42.5703125" style="39" bestFit="1" customWidth="1"/>
    <col min="2819" max="2819" width="15.28515625" style="39" customWidth="1"/>
    <col min="2820" max="2820" width="12.42578125" style="39" customWidth="1"/>
    <col min="2821" max="2821" width="9.140625" style="39"/>
    <col min="2822" max="2822" width="8.140625" style="39" customWidth="1"/>
    <col min="2823" max="2826" width="7.28515625" style="39" customWidth="1"/>
    <col min="2827" max="2827" width="7.85546875" style="39" customWidth="1"/>
    <col min="2828" max="2828" width="7.28515625" style="39" customWidth="1"/>
    <col min="2829" max="2829" width="8.28515625" style="39" customWidth="1"/>
    <col min="2830" max="2830" width="11.140625" style="39" customWidth="1"/>
    <col min="2831" max="2831" width="12.140625" style="39" customWidth="1"/>
    <col min="2832" max="2832" width="8.28515625" style="39" customWidth="1"/>
    <col min="2833" max="2833" width="12.140625" style="39" customWidth="1"/>
    <col min="2834" max="2834" width="16.7109375" style="39" customWidth="1"/>
    <col min="2835" max="2835" width="13.42578125" style="39" customWidth="1"/>
    <col min="2836" max="2836" width="11.28515625" style="39" customWidth="1"/>
    <col min="2837" max="2837" width="17.28515625" style="39" customWidth="1"/>
    <col min="2838" max="2838" width="13.7109375" style="39" customWidth="1"/>
    <col min="2839" max="2839" width="15.140625" style="39" customWidth="1"/>
    <col min="2840" max="3073" width="9.140625" style="39"/>
    <col min="3074" max="3074" width="42.5703125" style="39" bestFit="1" customWidth="1"/>
    <col min="3075" max="3075" width="15.28515625" style="39" customWidth="1"/>
    <col min="3076" max="3076" width="12.42578125" style="39" customWidth="1"/>
    <col min="3077" max="3077" width="9.140625" style="39"/>
    <col min="3078" max="3078" width="8.140625" style="39" customWidth="1"/>
    <col min="3079" max="3082" width="7.28515625" style="39" customWidth="1"/>
    <col min="3083" max="3083" width="7.85546875" style="39" customWidth="1"/>
    <col min="3084" max="3084" width="7.28515625" style="39" customWidth="1"/>
    <col min="3085" max="3085" width="8.28515625" style="39" customWidth="1"/>
    <col min="3086" max="3086" width="11.140625" style="39" customWidth="1"/>
    <col min="3087" max="3087" width="12.140625" style="39" customWidth="1"/>
    <col min="3088" max="3088" width="8.28515625" style="39" customWidth="1"/>
    <col min="3089" max="3089" width="12.140625" style="39" customWidth="1"/>
    <col min="3090" max="3090" width="16.7109375" style="39" customWidth="1"/>
    <col min="3091" max="3091" width="13.42578125" style="39" customWidth="1"/>
    <col min="3092" max="3092" width="11.28515625" style="39" customWidth="1"/>
    <col min="3093" max="3093" width="17.28515625" style="39" customWidth="1"/>
    <col min="3094" max="3094" width="13.7109375" style="39" customWidth="1"/>
    <col min="3095" max="3095" width="15.140625" style="39" customWidth="1"/>
    <col min="3096" max="3329" width="9.140625" style="39"/>
    <col min="3330" max="3330" width="42.5703125" style="39" bestFit="1" customWidth="1"/>
    <col min="3331" max="3331" width="15.28515625" style="39" customWidth="1"/>
    <col min="3332" max="3332" width="12.42578125" style="39" customWidth="1"/>
    <col min="3333" max="3333" width="9.140625" style="39"/>
    <col min="3334" max="3334" width="8.140625" style="39" customWidth="1"/>
    <col min="3335" max="3338" width="7.28515625" style="39" customWidth="1"/>
    <col min="3339" max="3339" width="7.85546875" style="39" customWidth="1"/>
    <col min="3340" max="3340" width="7.28515625" style="39" customWidth="1"/>
    <col min="3341" max="3341" width="8.28515625" style="39" customWidth="1"/>
    <col min="3342" max="3342" width="11.140625" style="39" customWidth="1"/>
    <col min="3343" max="3343" width="12.140625" style="39" customWidth="1"/>
    <col min="3344" max="3344" width="8.28515625" style="39" customWidth="1"/>
    <col min="3345" max="3345" width="12.140625" style="39" customWidth="1"/>
    <col min="3346" max="3346" width="16.7109375" style="39" customWidth="1"/>
    <col min="3347" max="3347" width="13.42578125" style="39" customWidth="1"/>
    <col min="3348" max="3348" width="11.28515625" style="39" customWidth="1"/>
    <col min="3349" max="3349" width="17.28515625" style="39" customWidth="1"/>
    <col min="3350" max="3350" width="13.7109375" style="39" customWidth="1"/>
    <col min="3351" max="3351" width="15.140625" style="39" customWidth="1"/>
    <col min="3352" max="3585" width="9.140625" style="39"/>
    <col min="3586" max="3586" width="42.5703125" style="39" bestFit="1" customWidth="1"/>
    <col min="3587" max="3587" width="15.28515625" style="39" customWidth="1"/>
    <col min="3588" max="3588" width="12.42578125" style="39" customWidth="1"/>
    <col min="3589" max="3589" width="9.140625" style="39"/>
    <col min="3590" max="3590" width="8.140625" style="39" customWidth="1"/>
    <col min="3591" max="3594" width="7.28515625" style="39" customWidth="1"/>
    <col min="3595" max="3595" width="7.85546875" style="39" customWidth="1"/>
    <col min="3596" max="3596" width="7.28515625" style="39" customWidth="1"/>
    <col min="3597" max="3597" width="8.28515625" style="39" customWidth="1"/>
    <col min="3598" max="3598" width="11.140625" style="39" customWidth="1"/>
    <col min="3599" max="3599" width="12.140625" style="39" customWidth="1"/>
    <col min="3600" max="3600" width="8.28515625" style="39" customWidth="1"/>
    <col min="3601" max="3601" width="12.140625" style="39" customWidth="1"/>
    <col min="3602" max="3602" width="16.7109375" style="39" customWidth="1"/>
    <col min="3603" max="3603" width="13.42578125" style="39" customWidth="1"/>
    <col min="3604" max="3604" width="11.28515625" style="39" customWidth="1"/>
    <col min="3605" max="3605" width="17.28515625" style="39" customWidth="1"/>
    <col min="3606" max="3606" width="13.7109375" style="39" customWidth="1"/>
    <col min="3607" max="3607" width="15.140625" style="39" customWidth="1"/>
    <col min="3608" max="3841" width="9.140625" style="39"/>
    <col min="3842" max="3842" width="42.5703125" style="39" bestFit="1" customWidth="1"/>
    <col min="3843" max="3843" width="15.28515625" style="39" customWidth="1"/>
    <col min="3844" max="3844" width="12.42578125" style="39" customWidth="1"/>
    <col min="3845" max="3845" width="9.140625" style="39"/>
    <col min="3846" max="3846" width="8.140625" style="39" customWidth="1"/>
    <col min="3847" max="3850" width="7.28515625" style="39" customWidth="1"/>
    <col min="3851" max="3851" width="7.85546875" style="39" customWidth="1"/>
    <col min="3852" max="3852" width="7.28515625" style="39" customWidth="1"/>
    <col min="3853" max="3853" width="8.28515625" style="39" customWidth="1"/>
    <col min="3854" max="3854" width="11.140625" style="39" customWidth="1"/>
    <col min="3855" max="3855" width="12.140625" style="39" customWidth="1"/>
    <col min="3856" max="3856" width="8.28515625" style="39" customWidth="1"/>
    <col min="3857" max="3857" width="12.140625" style="39" customWidth="1"/>
    <col min="3858" max="3858" width="16.7109375" style="39" customWidth="1"/>
    <col min="3859" max="3859" width="13.42578125" style="39" customWidth="1"/>
    <col min="3860" max="3860" width="11.28515625" style="39" customWidth="1"/>
    <col min="3861" max="3861" width="17.28515625" style="39" customWidth="1"/>
    <col min="3862" max="3862" width="13.7109375" style="39" customWidth="1"/>
    <col min="3863" max="3863" width="15.140625" style="39" customWidth="1"/>
    <col min="3864" max="4097" width="9.140625" style="39"/>
    <col min="4098" max="4098" width="42.5703125" style="39" bestFit="1" customWidth="1"/>
    <col min="4099" max="4099" width="15.28515625" style="39" customWidth="1"/>
    <col min="4100" max="4100" width="12.42578125" style="39" customWidth="1"/>
    <col min="4101" max="4101" width="9.140625" style="39"/>
    <col min="4102" max="4102" width="8.140625" style="39" customWidth="1"/>
    <col min="4103" max="4106" width="7.28515625" style="39" customWidth="1"/>
    <col min="4107" max="4107" width="7.85546875" style="39" customWidth="1"/>
    <col min="4108" max="4108" width="7.28515625" style="39" customWidth="1"/>
    <col min="4109" max="4109" width="8.28515625" style="39" customWidth="1"/>
    <col min="4110" max="4110" width="11.140625" style="39" customWidth="1"/>
    <col min="4111" max="4111" width="12.140625" style="39" customWidth="1"/>
    <col min="4112" max="4112" width="8.28515625" style="39" customWidth="1"/>
    <col min="4113" max="4113" width="12.140625" style="39" customWidth="1"/>
    <col min="4114" max="4114" width="16.7109375" style="39" customWidth="1"/>
    <col min="4115" max="4115" width="13.42578125" style="39" customWidth="1"/>
    <col min="4116" max="4116" width="11.28515625" style="39" customWidth="1"/>
    <col min="4117" max="4117" width="17.28515625" style="39" customWidth="1"/>
    <col min="4118" max="4118" width="13.7109375" style="39" customWidth="1"/>
    <col min="4119" max="4119" width="15.140625" style="39" customWidth="1"/>
    <col min="4120" max="4353" width="9.140625" style="39"/>
    <col min="4354" max="4354" width="42.5703125" style="39" bestFit="1" customWidth="1"/>
    <col min="4355" max="4355" width="15.28515625" style="39" customWidth="1"/>
    <col min="4356" max="4356" width="12.42578125" style="39" customWidth="1"/>
    <col min="4357" max="4357" width="9.140625" style="39"/>
    <col min="4358" max="4358" width="8.140625" style="39" customWidth="1"/>
    <col min="4359" max="4362" width="7.28515625" style="39" customWidth="1"/>
    <col min="4363" max="4363" width="7.85546875" style="39" customWidth="1"/>
    <col min="4364" max="4364" width="7.28515625" style="39" customWidth="1"/>
    <col min="4365" max="4365" width="8.28515625" style="39" customWidth="1"/>
    <col min="4366" max="4366" width="11.140625" style="39" customWidth="1"/>
    <col min="4367" max="4367" width="12.140625" style="39" customWidth="1"/>
    <col min="4368" max="4368" width="8.28515625" style="39" customWidth="1"/>
    <col min="4369" max="4369" width="12.140625" style="39" customWidth="1"/>
    <col min="4370" max="4370" width="16.7109375" style="39" customWidth="1"/>
    <col min="4371" max="4371" width="13.42578125" style="39" customWidth="1"/>
    <col min="4372" max="4372" width="11.28515625" style="39" customWidth="1"/>
    <col min="4373" max="4373" width="17.28515625" style="39" customWidth="1"/>
    <col min="4374" max="4374" width="13.7109375" style="39" customWidth="1"/>
    <col min="4375" max="4375" width="15.140625" style="39" customWidth="1"/>
    <col min="4376" max="4609" width="9.140625" style="39"/>
    <col min="4610" max="4610" width="42.5703125" style="39" bestFit="1" customWidth="1"/>
    <col min="4611" max="4611" width="15.28515625" style="39" customWidth="1"/>
    <col min="4612" max="4612" width="12.42578125" style="39" customWidth="1"/>
    <col min="4613" max="4613" width="9.140625" style="39"/>
    <col min="4614" max="4614" width="8.140625" style="39" customWidth="1"/>
    <col min="4615" max="4618" width="7.28515625" style="39" customWidth="1"/>
    <col min="4619" max="4619" width="7.85546875" style="39" customWidth="1"/>
    <col min="4620" max="4620" width="7.28515625" style="39" customWidth="1"/>
    <col min="4621" max="4621" width="8.28515625" style="39" customWidth="1"/>
    <col min="4622" max="4622" width="11.140625" style="39" customWidth="1"/>
    <col min="4623" max="4623" width="12.140625" style="39" customWidth="1"/>
    <col min="4624" max="4624" width="8.28515625" style="39" customWidth="1"/>
    <col min="4625" max="4625" width="12.140625" style="39" customWidth="1"/>
    <col min="4626" max="4626" width="16.7109375" style="39" customWidth="1"/>
    <col min="4627" max="4627" width="13.42578125" style="39" customWidth="1"/>
    <col min="4628" max="4628" width="11.28515625" style="39" customWidth="1"/>
    <col min="4629" max="4629" width="17.28515625" style="39" customWidth="1"/>
    <col min="4630" max="4630" width="13.7109375" style="39" customWidth="1"/>
    <col min="4631" max="4631" width="15.140625" style="39" customWidth="1"/>
    <col min="4632" max="4865" width="9.140625" style="39"/>
    <col min="4866" max="4866" width="42.5703125" style="39" bestFit="1" customWidth="1"/>
    <col min="4867" max="4867" width="15.28515625" style="39" customWidth="1"/>
    <col min="4868" max="4868" width="12.42578125" style="39" customWidth="1"/>
    <col min="4869" max="4869" width="9.140625" style="39"/>
    <col min="4870" max="4870" width="8.140625" style="39" customWidth="1"/>
    <col min="4871" max="4874" width="7.28515625" style="39" customWidth="1"/>
    <col min="4875" max="4875" width="7.85546875" style="39" customWidth="1"/>
    <col min="4876" max="4876" width="7.28515625" style="39" customWidth="1"/>
    <col min="4877" max="4877" width="8.28515625" style="39" customWidth="1"/>
    <col min="4878" max="4878" width="11.140625" style="39" customWidth="1"/>
    <col min="4879" max="4879" width="12.140625" style="39" customWidth="1"/>
    <col min="4880" max="4880" width="8.28515625" style="39" customWidth="1"/>
    <col min="4881" max="4881" width="12.140625" style="39" customWidth="1"/>
    <col min="4882" max="4882" width="16.7109375" style="39" customWidth="1"/>
    <col min="4883" max="4883" width="13.42578125" style="39" customWidth="1"/>
    <col min="4884" max="4884" width="11.28515625" style="39" customWidth="1"/>
    <col min="4885" max="4885" width="17.28515625" style="39" customWidth="1"/>
    <col min="4886" max="4886" width="13.7109375" style="39" customWidth="1"/>
    <col min="4887" max="4887" width="15.140625" style="39" customWidth="1"/>
    <col min="4888" max="5121" width="9.140625" style="39"/>
    <col min="5122" max="5122" width="42.5703125" style="39" bestFit="1" customWidth="1"/>
    <col min="5123" max="5123" width="15.28515625" style="39" customWidth="1"/>
    <col min="5124" max="5124" width="12.42578125" style="39" customWidth="1"/>
    <col min="5125" max="5125" width="9.140625" style="39"/>
    <col min="5126" max="5126" width="8.140625" style="39" customWidth="1"/>
    <col min="5127" max="5130" width="7.28515625" style="39" customWidth="1"/>
    <col min="5131" max="5131" width="7.85546875" style="39" customWidth="1"/>
    <col min="5132" max="5132" width="7.28515625" style="39" customWidth="1"/>
    <col min="5133" max="5133" width="8.28515625" style="39" customWidth="1"/>
    <col min="5134" max="5134" width="11.140625" style="39" customWidth="1"/>
    <col min="5135" max="5135" width="12.140625" style="39" customWidth="1"/>
    <col min="5136" max="5136" width="8.28515625" style="39" customWidth="1"/>
    <col min="5137" max="5137" width="12.140625" style="39" customWidth="1"/>
    <col min="5138" max="5138" width="16.7109375" style="39" customWidth="1"/>
    <col min="5139" max="5139" width="13.42578125" style="39" customWidth="1"/>
    <col min="5140" max="5140" width="11.28515625" style="39" customWidth="1"/>
    <col min="5141" max="5141" width="17.28515625" style="39" customWidth="1"/>
    <col min="5142" max="5142" width="13.7109375" style="39" customWidth="1"/>
    <col min="5143" max="5143" width="15.140625" style="39" customWidth="1"/>
    <col min="5144" max="5377" width="9.140625" style="39"/>
    <col min="5378" max="5378" width="42.5703125" style="39" bestFit="1" customWidth="1"/>
    <col min="5379" max="5379" width="15.28515625" style="39" customWidth="1"/>
    <col min="5380" max="5380" width="12.42578125" style="39" customWidth="1"/>
    <col min="5381" max="5381" width="9.140625" style="39"/>
    <col min="5382" max="5382" width="8.140625" style="39" customWidth="1"/>
    <col min="5383" max="5386" width="7.28515625" style="39" customWidth="1"/>
    <col min="5387" max="5387" width="7.85546875" style="39" customWidth="1"/>
    <col min="5388" max="5388" width="7.28515625" style="39" customWidth="1"/>
    <col min="5389" max="5389" width="8.28515625" style="39" customWidth="1"/>
    <col min="5390" max="5390" width="11.140625" style="39" customWidth="1"/>
    <col min="5391" max="5391" width="12.140625" style="39" customWidth="1"/>
    <col min="5392" max="5392" width="8.28515625" style="39" customWidth="1"/>
    <col min="5393" max="5393" width="12.140625" style="39" customWidth="1"/>
    <col min="5394" max="5394" width="16.7109375" style="39" customWidth="1"/>
    <col min="5395" max="5395" width="13.42578125" style="39" customWidth="1"/>
    <col min="5396" max="5396" width="11.28515625" style="39" customWidth="1"/>
    <col min="5397" max="5397" width="17.28515625" style="39" customWidth="1"/>
    <col min="5398" max="5398" width="13.7109375" style="39" customWidth="1"/>
    <col min="5399" max="5399" width="15.140625" style="39" customWidth="1"/>
    <col min="5400" max="5633" width="9.140625" style="39"/>
    <col min="5634" max="5634" width="42.5703125" style="39" bestFit="1" customWidth="1"/>
    <col min="5635" max="5635" width="15.28515625" style="39" customWidth="1"/>
    <col min="5636" max="5636" width="12.42578125" style="39" customWidth="1"/>
    <col min="5637" max="5637" width="9.140625" style="39"/>
    <col min="5638" max="5638" width="8.140625" style="39" customWidth="1"/>
    <col min="5639" max="5642" width="7.28515625" style="39" customWidth="1"/>
    <col min="5643" max="5643" width="7.85546875" style="39" customWidth="1"/>
    <col min="5644" max="5644" width="7.28515625" style="39" customWidth="1"/>
    <col min="5645" max="5645" width="8.28515625" style="39" customWidth="1"/>
    <col min="5646" max="5646" width="11.140625" style="39" customWidth="1"/>
    <col min="5647" max="5647" width="12.140625" style="39" customWidth="1"/>
    <col min="5648" max="5648" width="8.28515625" style="39" customWidth="1"/>
    <col min="5649" max="5649" width="12.140625" style="39" customWidth="1"/>
    <col min="5650" max="5650" width="16.7109375" style="39" customWidth="1"/>
    <col min="5651" max="5651" width="13.42578125" style="39" customWidth="1"/>
    <col min="5652" max="5652" width="11.28515625" style="39" customWidth="1"/>
    <col min="5653" max="5653" width="17.28515625" style="39" customWidth="1"/>
    <col min="5654" max="5654" width="13.7109375" style="39" customWidth="1"/>
    <col min="5655" max="5655" width="15.140625" style="39" customWidth="1"/>
    <col min="5656" max="5889" width="9.140625" style="39"/>
    <col min="5890" max="5890" width="42.5703125" style="39" bestFit="1" customWidth="1"/>
    <col min="5891" max="5891" width="15.28515625" style="39" customWidth="1"/>
    <col min="5892" max="5892" width="12.42578125" style="39" customWidth="1"/>
    <col min="5893" max="5893" width="9.140625" style="39"/>
    <col min="5894" max="5894" width="8.140625" style="39" customWidth="1"/>
    <col min="5895" max="5898" width="7.28515625" style="39" customWidth="1"/>
    <col min="5899" max="5899" width="7.85546875" style="39" customWidth="1"/>
    <col min="5900" max="5900" width="7.28515625" style="39" customWidth="1"/>
    <col min="5901" max="5901" width="8.28515625" style="39" customWidth="1"/>
    <col min="5902" max="5902" width="11.140625" style="39" customWidth="1"/>
    <col min="5903" max="5903" width="12.140625" style="39" customWidth="1"/>
    <col min="5904" max="5904" width="8.28515625" style="39" customWidth="1"/>
    <col min="5905" max="5905" width="12.140625" style="39" customWidth="1"/>
    <col min="5906" max="5906" width="16.7109375" style="39" customWidth="1"/>
    <col min="5907" max="5907" width="13.42578125" style="39" customWidth="1"/>
    <col min="5908" max="5908" width="11.28515625" style="39" customWidth="1"/>
    <col min="5909" max="5909" width="17.28515625" style="39" customWidth="1"/>
    <col min="5910" max="5910" width="13.7109375" style="39" customWidth="1"/>
    <col min="5911" max="5911" width="15.140625" style="39" customWidth="1"/>
    <col min="5912" max="6145" width="9.140625" style="39"/>
    <col min="6146" max="6146" width="42.5703125" style="39" bestFit="1" customWidth="1"/>
    <col min="6147" max="6147" width="15.28515625" style="39" customWidth="1"/>
    <col min="6148" max="6148" width="12.42578125" style="39" customWidth="1"/>
    <col min="6149" max="6149" width="9.140625" style="39"/>
    <col min="6150" max="6150" width="8.140625" style="39" customWidth="1"/>
    <col min="6151" max="6154" width="7.28515625" style="39" customWidth="1"/>
    <col min="6155" max="6155" width="7.85546875" style="39" customWidth="1"/>
    <col min="6156" max="6156" width="7.28515625" style="39" customWidth="1"/>
    <col min="6157" max="6157" width="8.28515625" style="39" customWidth="1"/>
    <col min="6158" max="6158" width="11.140625" style="39" customWidth="1"/>
    <col min="6159" max="6159" width="12.140625" style="39" customWidth="1"/>
    <col min="6160" max="6160" width="8.28515625" style="39" customWidth="1"/>
    <col min="6161" max="6161" width="12.140625" style="39" customWidth="1"/>
    <col min="6162" max="6162" width="16.7109375" style="39" customWidth="1"/>
    <col min="6163" max="6163" width="13.42578125" style="39" customWidth="1"/>
    <col min="6164" max="6164" width="11.28515625" style="39" customWidth="1"/>
    <col min="6165" max="6165" width="17.28515625" style="39" customWidth="1"/>
    <col min="6166" max="6166" width="13.7109375" style="39" customWidth="1"/>
    <col min="6167" max="6167" width="15.140625" style="39" customWidth="1"/>
    <col min="6168" max="6401" width="9.140625" style="39"/>
    <col min="6402" max="6402" width="42.5703125" style="39" bestFit="1" customWidth="1"/>
    <col min="6403" max="6403" width="15.28515625" style="39" customWidth="1"/>
    <col min="6404" max="6404" width="12.42578125" style="39" customWidth="1"/>
    <col min="6405" max="6405" width="9.140625" style="39"/>
    <col min="6406" max="6406" width="8.140625" style="39" customWidth="1"/>
    <col min="6407" max="6410" width="7.28515625" style="39" customWidth="1"/>
    <col min="6411" max="6411" width="7.85546875" style="39" customWidth="1"/>
    <col min="6412" max="6412" width="7.28515625" style="39" customWidth="1"/>
    <col min="6413" max="6413" width="8.28515625" style="39" customWidth="1"/>
    <col min="6414" max="6414" width="11.140625" style="39" customWidth="1"/>
    <col min="6415" max="6415" width="12.140625" style="39" customWidth="1"/>
    <col min="6416" max="6416" width="8.28515625" style="39" customWidth="1"/>
    <col min="6417" max="6417" width="12.140625" style="39" customWidth="1"/>
    <col min="6418" max="6418" width="16.7109375" style="39" customWidth="1"/>
    <col min="6419" max="6419" width="13.42578125" style="39" customWidth="1"/>
    <col min="6420" max="6420" width="11.28515625" style="39" customWidth="1"/>
    <col min="6421" max="6421" width="17.28515625" style="39" customWidth="1"/>
    <col min="6422" max="6422" width="13.7109375" style="39" customWidth="1"/>
    <col min="6423" max="6423" width="15.140625" style="39" customWidth="1"/>
    <col min="6424" max="6657" width="9.140625" style="39"/>
    <col min="6658" max="6658" width="42.5703125" style="39" bestFit="1" customWidth="1"/>
    <col min="6659" max="6659" width="15.28515625" style="39" customWidth="1"/>
    <col min="6660" max="6660" width="12.42578125" style="39" customWidth="1"/>
    <col min="6661" max="6661" width="9.140625" style="39"/>
    <col min="6662" max="6662" width="8.140625" style="39" customWidth="1"/>
    <col min="6663" max="6666" width="7.28515625" style="39" customWidth="1"/>
    <col min="6667" max="6667" width="7.85546875" style="39" customWidth="1"/>
    <col min="6668" max="6668" width="7.28515625" style="39" customWidth="1"/>
    <col min="6669" max="6669" width="8.28515625" style="39" customWidth="1"/>
    <col min="6670" max="6670" width="11.140625" style="39" customWidth="1"/>
    <col min="6671" max="6671" width="12.140625" style="39" customWidth="1"/>
    <col min="6672" max="6672" width="8.28515625" style="39" customWidth="1"/>
    <col min="6673" max="6673" width="12.140625" style="39" customWidth="1"/>
    <col min="6674" max="6674" width="16.7109375" style="39" customWidth="1"/>
    <col min="6675" max="6675" width="13.42578125" style="39" customWidth="1"/>
    <col min="6676" max="6676" width="11.28515625" style="39" customWidth="1"/>
    <col min="6677" max="6677" width="17.28515625" style="39" customWidth="1"/>
    <col min="6678" max="6678" width="13.7109375" style="39" customWidth="1"/>
    <col min="6679" max="6679" width="15.140625" style="39" customWidth="1"/>
    <col min="6680" max="6913" width="9.140625" style="39"/>
    <col min="6914" max="6914" width="42.5703125" style="39" bestFit="1" customWidth="1"/>
    <col min="6915" max="6915" width="15.28515625" style="39" customWidth="1"/>
    <col min="6916" max="6916" width="12.42578125" style="39" customWidth="1"/>
    <col min="6917" max="6917" width="9.140625" style="39"/>
    <col min="6918" max="6918" width="8.140625" style="39" customWidth="1"/>
    <col min="6919" max="6922" width="7.28515625" style="39" customWidth="1"/>
    <col min="6923" max="6923" width="7.85546875" style="39" customWidth="1"/>
    <col min="6924" max="6924" width="7.28515625" style="39" customWidth="1"/>
    <col min="6925" max="6925" width="8.28515625" style="39" customWidth="1"/>
    <col min="6926" max="6926" width="11.140625" style="39" customWidth="1"/>
    <col min="6927" max="6927" width="12.140625" style="39" customWidth="1"/>
    <col min="6928" max="6928" width="8.28515625" style="39" customWidth="1"/>
    <col min="6929" max="6929" width="12.140625" style="39" customWidth="1"/>
    <col min="6930" max="6930" width="16.7109375" style="39" customWidth="1"/>
    <col min="6931" max="6931" width="13.42578125" style="39" customWidth="1"/>
    <col min="6932" max="6932" width="11.28515625" style="39" customWidth="1"/>
    <col min="6933" max="6933" width="17.28515625" style="39" customWidth="1"/>
    <col min="6934" max="6934" width="13.7109375" style="39" customWidth="1"/>
    <col min="6935" max="6935" width="15.140625" style="39" customWidth="1"/>
    <col min="6936" max="7169" width="9.140625" style="39"/>
    <col min="7170" max="7170" width="42.5703125" style="39" bestFit="1" customWidth="1"/>
    <col min="7171" max="7171" width="15.28515625" style="39" customWidth="1"/>
    <col min="7172" max="7172" width="12.42578125" style="39" customWidth="1"/>
    <col min="7173" max="7173" width="9.140625" style="39"/>
    <col min="7174" max="7174" width="8.140625" style="39" customWidth="1"/>
    <col min="7175" max="7178" width="7.28515625" style="39" customWidth="1"/>
    <col min="7179" max="7179" width="7.85546875" style="39" customWidth="1"/>
    <col min="7180" max="7180" width="7.28515625" style="39" customWidth="1"/>
    <col min="7181" max="7181" width="8.28515625" style="39" customWidth="1"/>
    <col min="7182" max="7182" width="11.140625" style="39" customWidth="1"/>
    <col min="7183" max="7183" width="12.140625" style="39" customWidth="1"/>
    <col min="7184" max="7184" width="8.28515625" style="39" customWidth="1"/>
    <col min="7185" max="7185" width="12.140625" style="39" customWidth="1"/>
    <col min="7186" max="7186" width="16.7109375" style="39" customWidth="1"/>
    <col min="7187" max="7187" width="13.42578125" style="39" customWidth="1"/>
    <col min="7188" max="7188" width="11.28515625" style="39" customWidth="1"/>
    <col min="7189" max="7189" width="17.28515625" style="39" customWidth="1"/>
    <col min="7190" max="7190" width="13.7109375" style="39" customWidth="1"/>
    <col min="7191" max="7191" width="15.140625" style="39" customWidth="1"/>
    <col min="7192" max="7425" width="9.140625" style="39"/>
    <col min="7426" max="7426" width="42.5703125" style="39" bestFit="1" customWidth="1"/>
    <col min="7427" max="7427" width="15.28515625" style="39" customWidth="1"/>
    <col min="7428" max="7428" width="12.42578125" style="39" customWidth="1"/>
    <col min="7429" max="7429" width="9.140625" style="39"/>
    <col min="7430" max="7430" width="8.140625" style="39" customWidth="1"/>
    <col min="7431" max="7434" width="7.28515625" style="39" customWidth="1"/>
    <col min="7435" max="7435" width="7.85546875" style="39" customWidth="1"/>
    <col min="7436" max="7436" width="7.28515625" style="39" customWidth="1"/>
    <col min="7437" max="7437" width="8.28515625" style="39" customWidth="1"/>
    <col min="7438" max="7438" width="11.140625" style="39" customWidth="1"/>
    <col min="7439" max="7439" width="12.140625" style="39" customWidth="1"/>
    <col min="7440" max="7440" width="8.28515625" style="39" customWidth="1"/>
    <col min="7441" max="7441" width="12.140625" style="39" customWidth="1"/>
    <col min="7442" max="7442" width="16.7109375" style="39" customWidth="1"/>
    <col min="7443" max="7443" width="13.42578125" style="39" customWidth="1"/>
    <col min="7444" max="7444" width="11.28515625" style="39" customWidth="1"/>
    <col min="7445" max="7445" width="17.28515625" style="39" customWidth="1"/>
    <col min="7446" max="7446" width="13.7109375" style="39" customWidth="1"/>
    <col min="7447" max="7447" width="15.140625" style="39" customWidth="1"/>
    <col min="7448" max="7681" width="9.140625" style="39"/>
    <col min="7682" max="7682" width="42.5703125" style="39" bestFit="1" customWidth="1"/>
    <col min="7683" max="7683" width="15.28515625" style="39" customWidth="1"/>
    <col min="7684" max="7684" width="12.42578125" style="39" customWidth="1"/>
    <col min="7685" max="7685" width="9.140625" style="39"/>
    <col min="7686" max="7686" width="8.140625" style="39" customWidth="1"/>
    <col min="7687" max="7690" width="7.28515625" style="39" customWidth="1"/>
    <col min="7691" max="7691" width="7.85546875" style="39" customWidth="1"/>
    <col min="7692" max="7692" width="7.28515625" style="39" customWidth="1"/>
    <col min="7693" max="7693" width="8.28515625" style="39" customWidth="1"/>
    <col min="7694" max="7694" width="11.140625" style="39" customWidth="1"/>
    <col min="7695" max="7695" width="12.140625" style="39" customWidth="1"/>
    <col min="7696" max="7696" width="8.28515625" style="39" customWidth="1"/>
    <col min="7697" max="7697" width="12.140625" style="39" customWidth="1"/>
    <col min="7698" max="7698" width="16.7109375" style="39" customWidth="1"/>
    <col min="7699" max="7699" width="13.42578125" style="39" customWidth="1"/>
    <col min="7700" max="7700" width="11.28515625" style="39" customWidth="1"/>
    <col min="7701" max="7701" width="17.28515625" style="39" customWidth="1"/>
    <col min="7702" max="7702" width="13.7109375" style="39" customWidth="1"/>
    <col min="7703" max="7703" width="15.140625" style="39" customWidth="1"/>
    <col min="7704" max="7937" width="9.140625" style="39"/>
    <col min="7938" max="7938" width="42.5703125" style="39" bestFit="1" customWidth="1"/>
    <col min="7939" max="7939" width="15.28515625" style="39" customWidth="1"/>
    <col min="7940" max="7940" width="12.42578125" style="39" customWidth="1"/>
    <col min="7941" max="7941" width="9.140625" style="39"/>
    <col min="7942" max="7942" width="8.140625" style="39" customWidth="1"/>
    <col min="7943" max="7946" width="7.28515625" style="39" customWidth="1"/>
    <col min="7947" max="7947" width="7.85546875" style="39" customWidth="1"/>
    <col min="7948" max="7948" width="7.28515625" style="39" customWidth="1"/>
    <col min="7949" max="7949" width="8.28515625" style="39" customWidth="1"/>
    <col min="7950" max="7950" width="11.140625" style="39" customWidth="1"/>
    <col min="7951" max="7951" width="12.140625" style="39" customWidth="1"/>
    <col min="7952" max="7952" width="8.28515625" style="39" customWidth="1"/>
    <col min="7953" max="7953" width="12.140625" style="39" customWidth="1"/>
    <col min="7954" max="7954" width="16.7109375" style="39" customWidth="1"/>
    <col min="7955" max="7955" width="13.42578125" style="39" customWidth="1"/>
    <col min="7956" max="7956" width="11.28515625" style="39" customWidth="1"/>
    <col min="7957" max="7957" width="17.28515625" style="39" customWidth="1"/>
    <col min="7958" max="7958" width="13.7109375" style="39" customWidth="1"/>
    <col min="7959" max="7959" width="15.140625" style="39" customWidth="1"/>
    <col min="7960" max="8193" width="9.140625" style="39"/>
    <col min="8194" max="8194" width="42.5703125" style="39" bestFit="1" customWidth="1"/>
    <col min="8195" max="8195" width="15.28515625" style="39" customWidth="1"/>
    <col min="8196" max="8196" width="12.42578125" style="39" customWidth="1"/>
    <col min="8197" max="8197" width="9.140625" style="39"/>
    <col min="8198" max="8198" width="8.140625" style="39" customWidth="1"/>
    <col min="8199" max="8202" width="7.28515625" style="39" customWidth="1"/>
    <col min="8203" max="8203" width="7.85546875" style="39" customWidth="1"/>
    <col min="8204" max="8204" width="7.28515625" style="39" customWidth="1"/>
    <col min="8205" max="8205" width="8.28515625" style="39" customWidth="1"/>
    <col min="8206" max="8206" width="11.140625" style="39" customWidth="1"/>
    <col min="8207" max="8207" width="12.140625" style="39" customWidth="1"/>
    <col min="8208" max="8208" width="8.28515625" style="39" customWidth="1"/>
    <col min="8209" max="8209" width="12.140625" style="39" customWidth="1"/>
    <col min="8210" max="8210" width="16.7109375" style="39" customWidth="1"/>
    <col min="8211" max="8211" width="13.42578125" style="39" customWidth="1"/>
    <col min="8212" max="8212" width="11.28515625" style="39" customWidth="1"/>
    <col min="8213" max="8213" width="17.28515625" style="39" customWidth="1"/>
    <col min="8214" max="8214" width="13.7109375" style="39" customWidth="1"/>
    <col min="8215" max="8215" width="15.140625" style="39" customWidth="1"/>
    <col min="8216" max="8449" width="9.140625" style="39"/>
    <col min="8450" max="8450" width="42.5703125" style="39" bestFit="1" customWidth="1"/>
    <col min="8451" max="8451" width="15.28515625" style="39" customWidth="1"/>
    <col min="8452" max="8452" width="12.42578125" style="39" customWidth="1"/>
    <col min="8453" max="8453" width="9.140625" style="39"/>
    <col min="8454" max="8454" width="8.140625" style="39" customWidth="1"/>
    <col min="8455" max="8458" width="7.28515625" style="39" customWidth="1"/>
    <col min="8459" max="8459" width="7.85546875" style="39" customWidth="1"/>
    <col min="8460" max="8460" width="7.28515625" style="39" customWidth="1"/>
    <col min="8461" max="8461" width="8.28515625" style="39" customWidth="1"/>
    <col min="8462" max="8462" width="11.140625" style="39" customWidth="1"/>
    <col min="8463" max="8463" width="12.140625" style="39" customWidth="1"/>
    <col min="8464" max="8464" width="8.28515625" style="39" customWidth="1"/>
    <col min="8465" max="8465" width="12.140625" style="39" customWidth="1"/>
    <col min="8466" max="8466" width="16.7109375" style="39" customWidth="1"/>
    <col min="8467" max="8467" width="13.42578125" style="39" customWidth="1"/>
    <col min="8468" max="8468" width="11.28515625" style="39" customWidth="1"/>
    <col min="8469" max="8469" width="17.28515625" style="39" customWidth="1"/>
    <col min="8470" max="8470" width="13.7109375" style="39" customWidth="1"/>
    <col min="8471" max="8471" width="15.140625" style="39" customWidth="1"/>
    <col min="8472" max="8705" width="9.140625" style="39"/>
    <col min="8706" max="8706" width="42.5703125" style="39" bestFit="1" customWidth="1"/>
    <col min="8707" max="8707" width="15.28515625" style="39" customWidth="1"/>
    <col min="8708" max="8708" width="12.42578125" style="39" customWidth="1"/>
    <col min="8709" max="8709" width="9.140625" style="39"/>
    <col min="8710" max="8710" width="8.140625" style="39" customWidth="1"/>
    <col min="8711" max="8714" width="7.28515625" style="39" customWidth="1"/>
    <col min="8715" max="8715" width="7.85546875" style="39" customWidth="1"/>
    <col min="8716" max="8716" width="7.28515625" style="39" customWidth="1"/>
    <col min="8717" max="8717" width="8.28515625" style="39" customWidth="1"/>
    <col min="8718" max="8718" width="11.140625" style="39" customWidth="1"/>
    <col min="8719" max="8719" width="12.140625" style="39" customWidth="1"/>
    <col min="8720" max="8720" width="8.28515625" style="39" customWidth="1"/>
    <col min="8721" max="8721" width="12.140625" style="39" customWidth="1"/>
    <col min="8722" max="8722" width="16.7109375" style="39" customWidth="1"/>
    <col min="8723" max="8723" width="13.42578125" style="39" customWidth="1"/>
    <col min="8724" max="8724" width="11.28515625" style="39" customWidth="1"/>
    <col min="8725" max="8725" width="17.28515625" style="39" customWidth="1"/>
    <col min="8726" max="8726" width="13.7109375" style="39" customWidth="1"/>
    <col min="8727" max="8727" width="15.140625" style="39" customWidth="1"/>
    <col min="8728" max="8961" width="9.140625" style="39"/>
    <col min="8962" max="8962" width="42.5703125" style="39" bestFit="1" customWidth="1"/>
    <col min="8963" max="8963" width="15.28515625" style="39" customWidth="1"/>
    <col min="8964" max="8964" width="12.42578125" style="39" customWidth="1"/>
    <col min="8965" max="8965" width="9.140625" style="39"/>
    <col min="8966" max="8966" width="8.140625" style="39" customWidth="1"/>
    <col min="8967" max="8970" width="7.28515625" style="39" customWidth="1"/>
    <col min="8971" max="8971" width="7.85546875" style="39" customWidth="1"/>
    <col min="8972" max="8972" width="7.28515625" style="39" customWidth="1"/>
    <col min="8973" max="8973" width="8.28515625" style="39" customWidth="1"/>
    <col min="8974" max="8974" width="11.140625" style="39" customWidth="1"/>
    <col min="8975" max="8975" width="12.140625" style="39" customWidth="1"/>
    <col min="8976" max="8976" width="8.28515625" style="39" customWidth="1"/>
    <col min="8977" max="8977" width="12.140625" style="39" customWidth="1"/>
    <col min="8978" max="8978" width="16.7109375" style="39" customWidth="1"/>
    <col min="8979" max="8979" width="13.42578125" style="39" customWidth="1"/>
    <col min="8980" max="8980" width="11.28515625" style="39" customWidth="1"/>
    <col min="8981" max="8981" width="17.28515625" style="39" customWidth="1"/>
    <col min="8982" max="8982" width="13.7109375" style="39" customWidth="1"/>
    <col min="8983" max="8983" width="15.140625" style="39" customWidth="1"/>
    <col min="8984" max="9217" width="9.140625" style="39"/>
    <col min="9218" max="9218" width="42.5703125" style="39" bestFit="1" customWidth="1"/>
    <col min="9219" max="9219" width="15.28515625" style="39" customWidth="1"/>
    <col min="9220" max="9220" width="12.42578125" style="39" customWidth="1"/>
    <col min="9221" max="9221" width="9.140625" style="39"/>
    <col min="9222" max="9222" width="8.140625" style="39" customWidth="1"/>
    <col min="9223" max="9226" width="7.28515625" style="39" customWidth="1"/>
    <col min="9227" max="9227" width="7.85546875" style="39" customWidth="1"/>
    <col min="9228" max="9228" width="7.28515625" style="39" customWidth="1"/>
    <col min="9229" max="9229" width="8.28515625" style="39" customWidth="1"/>
    <col min="9230" max="9230" width="11.140625" style="39" customWidth="1"/>
    <col min="9231" max="9231" width="12.140625" style="39" customWidth="1"/>
    <col min="9232" max="9232" width="8.28515625" style="39" customWidth="1"/>
    <col min="9233" max="9233" width="12.140625" style="39" customWidth="1"/>
    <col min="9234" max="9234" width="16.7109375" style="39" customWidth="1"/>
    <col min="9235" max="9235" width="13.42578125" style="39" customWidth="1"/>
    <col min="9236" max="9236" width="11.28515625" style="39" customWidth="1"/>
    <col min="9237" max="9237" width="17.28515625" style="39" customWidth="1"/>
    <col min="9238" max="9238" width="13.7109375" style="39" customWidth="1"/>
    <col min="9239" max="9239" width="15.140625" style="39" customWidth="1"/>
    <col min="9240" max="9473" width="9.140625" style="39"/>
    <col min="9474" max="9474" width="42.5703125" style="39" bestFit="1" customWidth="1"/>
    <col min="9475" max="9475" width="15.28515625" style="39" customWidth="1"/>
    <col min="9476" max="9476" width="12.42578125" style="39" customWidth="1"/>
    <col min="9477" max="9477" width="9.140625" style="39"/>
    <col min="9478" max="9478" width="8.140625" style="39" customWidth="1"/>
    <col min="9479" max="9482" width="7.28515625" style="39" customWidth="1"/>
    <col min="9483" max="9483" width="7.85546875" style="39" customWidth="1"/>
    <col min="9484" max="9484" width="7.28515625" style="39" customWidth="1"/>
    <col min="9485" max="9485" width="8.28515625" style="39" customWidth="1"/>
    <col min="9486" max="9486" width="11.140625" style="39" customWidth="1"/>
    <col min="9487" max="9487" width="12.140625" style="39" customWidth="1"/>
    <col min="9488" max="9488" width="8.28515625" style="39" customWidth="1"/>
    <col min="9489" max="9489" width="12.140625" style="39" customWidth="1"/>
    <col min="9490" max="9490" width="16.7109375" style="39" customWidth="1"/>
    <col min="9491" max="9491" width="13.42578125" style="39" customWidth="1"/>
    <col min="9492" max="9492" width="11.28515625" style="39" customWidth="1"/>
    <col min="9493" max="9493" width="17.28515625" style="39" customWidth="1"/>
    <col min="9494" max="9494" width="13.7109375" style="39" customWidth="1"/>
    <col min="9495" max="9495" width="15.140625" style="39" customWidth="1"/>
    <col min="9496" max="9729" width="9.140625" style="39"/>
    <col min="9730" max="9730" width="42.5703125" style="39" bestFit="1" customWidth="1"/>
    <col min="9731" max="9731" width="15.28515625" style="39" customWidth="1"/>
    <col min="9732" max="9732" width="12.42578125" style="39" customWidth="1"/>
    <col min="9733" max="9733" width="9.140625" style="39"/>
    <col min="9734" max="9734" width="8.140625" style="39" customWidth="1"/>
    <col min="9735" max="9738" width="7.28515625" style="39" customWidth="1"/>
    <col min="9739" max="9739" width="7.85546875" style="39" customWidth="1"/>
    <col min="9740" max="9740" width="7.28515625" style="39" customWidth="1"/>
    <col min="9741" max="9741" width="8.28515625" style="39" customWidth="1"/>
    <col min="9742" max="9742" width="11.140625" style="39" customWidth="1"/>
    <col min="9743" max="9743" width="12.140625" style="39" customWidth="1"/>
    <col min="9744" max="9744" width="8.28515625" style="39" customWidth="1"/>
    <col min="9745" max="9745" width="12.140625" style="39" customWidth="1"/>
    <col min="9746" max="9746" width="16.7109375" style="39" customWidth="1"/>
    <col min="9747" max="9747" width="13.42578125" style="39" customWidth="1"/>
    <col min="9748" max="9748" width="11.28515625" style="39" customWidth="1"/>
    <col min="9749" max="9749" width="17.28515625" style="39" customWidth="1"/>
    <col min="9750" max="9750" width="13.7109375" style="39" customWidth="1"/>
    <col min="9751" max="9751" width="15.140625" style="39" customWidth="1"/>
    <col min="9752" max="9985" width="9.140625" style="39"/>
    <col min="9986" max="9986" width="42.5703125" style="39" bestFit="1" customWidth="1"/>
    <col min="9987" max="9987" width="15.28515625" style="39" customWidth="1"/>
    <col min="9988" max="9988" width="12.42578125" style="39" customWidth="1"/>
    <col min="9989" max="9989" width="9.140625" style="39"/>
    <col min="9990" max="9990" width="8.140625" style="39" customWidth="1"/>
    <col min="9991" max="9994" width="7.28515625" style="39" customWidth="1"/>
    <col min="9995" max="9995" width="7.85546875" style="39" customWidth="1"/>
    <col min="9996" max="9996" width="7.28515625" style="39" customWidth="1"/>
    <col min="9997" max="9997" width="8.28515625" style="39" customWidth="1"/>
    <col min="9998" max="9998" width="11.140625" style="39" customWidth="1"/>
    <col min="9999" max="9999" width="12.140625" style="39" customWidth="1"/>
    <col min="10000" max="10000" width="8.28515625" style="39" customWidth="1"/>
    <col min="10001" max="10001" width="12.140625" style="39" customWidth="1"/>
    <col min="10002" max="10002" width="16.7109375" style="39" customWidth="1"/>
    <col min="10003" max="10003" width="13.42578125" style="39" customWidth="1"/>
    <col min="10004" max="10004" width="11.28515625" style="39" customWidth="1"/>
    <col min="10005" max="10005" width="17.28515625" style="39" customWidth="1"/>
    <col min="10006" max="10006" width="13.7109375" style="39" customWidth="1"/>
    <col min="10007" max="10007" width="15.140625" style="39" customWidth="1"/>
    <col min="10008" max="10241" width="9.140625" style="39"/>
    <col min="10242" max="10242" width="42.5703125" style="39" bestFit="1" customWidth="1"/>
    <col min="10243" max="10243" width="15.28515625" style="39" customWidth="1"/>
    <col min="10244" max="10244" width="12.42578125" style="39" customWidth="1"/>
    <col min="10245" max="10245" width="9.140625" style="39"/>
    <col min="10246" max="10246" width="8.140625" style="39" customWidth="1"/>
    <col min="10247" max="10250" width="7.28515625" style="39" customWidth="1"/>
    <col min="10251" max="10251" width="7.85546875" style="39" customWidth="1"/>
    <col min="10252" max="10252" width="7.28515625" style="39" customWidth="1"/>
    <col min="10253" max="10253" width="8.28515625" style="39" customWidth="1"/>
    <col min="10254" max="10254" width="11.140625" style="39" customWidth="1"/>
    <col min="10255" max="10255" width="12.140625" style="39" customWidth="1"/>
    <col min="10256" max="10256" width="8.28515625" style="39" customWidth="1"/>
    <col min="10257" max="10257" width="12.140625" style="39" customWidth="1"/>
    <col min="10258" max="10258" width="16.7109375" style="39" customWidth="1"/>
    <col min="10259" max="10259" width="13.42578125" style="39" customWidth="1"/>
    <col min="10260" max="10260" width="11.28515625" style="39" customWidth="1"/>
    <col min="10261" max="10261" width="17.28515625" style="39" customWidth="1"/>
    <col min="10262" max="10262" width="13.7109375" style="39" customWidth="1"/>
    <col min="10263" max="10263" width="15.140625" style="39" customWidth="1"/>
    <col min="10264" max="10497" width="9.140625" style="39"/>
    <col min="10498" max="10498" width="42.5703125" style="39" bestFit="1" customWidth="1"/>
    <col min="10499" max="10499" width="15.28515625" style="39" customWidth="1"/>
    <col min="10500" max="10500" width="12.42578125" style="39" customWidth="1"/>
    <col min="10501" max="10501" width="9.140625" style="39"/>
    <col min="10502" max="10502" width="8.140625" style="39" customWidth="1"/>
    <col min="10503" max="10506" width="7.28515625" style="39" customWidth="1"/>
    <col min="10507" max="10507" width="7.85546875" style="39" customWidth="1"/>
    <col min="10508" max="10508" width="7.28515625" style="39" customWidth="1"/>
    <col min="10509" max="10509" width="8.28515625" style="39" customWidth="1"/>
    <col min="10510" max="10510" width="11.140625" style="39" customWidth="1"/>
    <col min="10511" max="10511" width="12.140625" style="39" customWidth="1"/>
    <col min="10512" max="10512" width="8.28515625" style="39" customWidth="1"/>
    <col min="10513" max="10513" width="12.140625" style="39" customWidth="1"/>
    <col min="10514" max="10514" width="16.7109375" style="39" customWidth="1"/>
    <col min="10515" max="10515" width="13.42578125" style="39" customWidth="1"/>
    <col min="10516" max="10516" width="11.28515625" style="39" customWidth="1"/>
    <col min="10517" max="10517" width="17.28515625" style="39" customWidth="1"/>
    <col min="10518" max="10518" width="13.7109375" style="39" customWidth="1"/>
    <col min="10519" max="10519" width="15.140625" style="39" customWidth="1"/>
    <col min="10520" max="10753" width="9.140625" style="39"/>
    <col min="10754" max="10754" width="42.5703125" style="39" bestFit="1" customWidth="1"/>
    <col min="10755" max="10755" width="15.28515625" style="39" customWidth="1"/>
    <col min="10756" max="10756" width="12.42578125" style="39" customWidth="1"/>
    <col min="10757" max="10757" width="9.140625" style="39"/>
    <col min="10758" max="10758" width="8.140625" style="39" customWidth="1"/>
    <col min="10759" max="10762" width="7.28515625" style="39" customWidth="1"/>
    <col min="10763" max="10763" width="7.85546875" style="39" customWidth="1"/>
    <col min="10764" max="10764" width="7.28515625" style="39" customWidth="1"/>
    <col min="10765" max="10765" width="8.28515625" style="39" customWidth="1"/>
    <col min="10766" max="10766" width="11.140625" style="39" customWidth="1"/>
    <col min="10767" max="10767" width="12.140625" style="39" customWidth="1"/>
    <col min="10768" max="10768" width="8.28515625" style="39" customWidth="1"/>
    <col min="10769" max="10769" width="12.140625" style="39" customWidth="1"/>
    <col min="10770" max="10770" width="16.7109375" style="39" customWidth="1"/>
    <col min="10771" max="10771" width="13.42578125" style="39" customWidth="1"/>
    <col min="10772" max="10772" width="11.28515625" style="39" customWidth="1"/>
    <col min="10773" max="10773" width="17.28515625" style="39" customWidth="1"/>
    <col min="10774" max="10774" width="13.7109375" style="39" customWidth="1"/>
    <col min="10775" max="10775" width="15.140625" style="39" customWidth="1"/>
    <col min="10776" max="11009" width="9.140625" style="39"/>
    <col min="11010" max="11010" width="42.5703125" style="39" bestFit="1" customWidth="1"/>
    <col min="11011" max="11011" width="15.28515625" style="39" customWidth="1"/>
    <col min="11012" max="11012" width="12.42578125" style="39" customWidth="1"/>
    <col min="11013" max="11013" width="9.140625" style="39"/>
    <col min="11014" max="11014" width="8.140625" style="39" customWidth="1"/>
    <col min="11015" max="11018" width="7.28515625" style="39" customWidth="1"/>
    <col min="11019" max="11019" width="7.85546875" style="39" customWidth="1"/>
    <col min="11020" max="11020" width="7.28515625" style="39" customWidth="1"/>
    <col min="11021" max="11021" width="8.28515625" style="39" customWidth="1"/>
    <col min="11022" max="11022" width="11.140625" style="39" customWidth="1"/>
    <col min="11023" max="11023" width="12.140625" style="39" customWidth="1"/>
    <col min="11024" max="11024" width="8.28515625" style="39" customWidth="1"/>
    <col min="11025" max="11025" width="12.140625" style="39" customWidth="1"/>
    <col min="11026" max="11026" width="16.7109375" style="39" customWidth="1"/>
    <col min="11027" max="11027" width="13.42578125" style="39" customWidth="1"/>
    <col min="11028" max="11028" width="11.28515625" style="39" customWidth="1"/>
    <col min="11029" max="11029" width="17.28515625" style="39" customWidth="1"/>
    <col min="11030" max="11030" width="13.7109375" style="39" customWidth="1"/>
    <col min="11031" max="11031" width="15.140625" style="39" customWidth="1"/>
    <col min="11032" max="11265" width="9.140625" style="39"/>
    <col min="11266" max="11266" width="42.5703125" style="39" bestFit="1" customWidth="1"/>
    <col min="11267" max="11267" width="15.28515625" style="39" customWidth="1"/>
    <col min="11268" max="11268" width="12.42578125" style="39" customWidth="1"/>
    <col min="11269" max="11269" width="9.140625" style="39"/>
    <col min="11270" max="11270" width="8.140625" style="39" customWidth="1"/>
    <col min="11271" max="11274" width="7.28515625" style="39" customWidth="1"/>
    <col min="11275" max="11275" width="7.85546875" style="39" customWidth="1"/>
    <col min="11276" max="11276" width="7.28515625" style="39" customWidth="1"/>
    <col min="11277" max="11277" width="8.28515625" style="39" customWidth="1"/>
    <col min="11278" max="11278" width="11.140625" style="39" customWidth="1"/>
    <col min="11279" max="11279" width="12.140625" style="39" customWidth="1"/>
    <col min="11280" max="11280" width="8.28515625" style="39" customWidth="1"/>
    <col min="11281" max="11281" width="12.140625" style="39" customWidth="1"/>
    <col min="11282" max="11282" width="16.7109375" style="39" customWidth="1"/>
    <col min="11283" max="11283" width="13.42578125" style="39" customWidth="1"/>
    <col min="11284" max="11284" width="11.28515625" style="39" customWidth="1"/>
    <col min="11285" max="11285" width="17.28515625" style="39" customWidth="1"/>
    <col min="11286" max="11286" width="13.7109375" style="39" customWidth="1"/>
    <col min="11287" max="11287" width="15.140625" style="39" customWidth="1"/>
    <col min="11288" max="11521" width="9.140625" style="39"/>
    <col min="11522" max="11522" width="42.5703125" style="39" bestFit="1" customWidth="1"/>
    <col min="11523" max="11523" width="15.28515625" style="39" customWidth="1"/>
    <col min="11524" max="11524" width="12.42578125" style="39" customWidth="1"/>
    <col min="11525" max="11525" width="9.140625" style="39"/>
    <col min="11526" max="11526" width="8.140625" style="39" customWidth="1"/>
    <col min="11527" max="11530" width="7.28515625" style="39" customWidth="1"/>
    <col min="11531" max="11531" width="7.85546875" style="39" customWidth="1"/>
    <col min="11532" max="11532" width="7.28515625" style="39" customWidth="1"/>
    <col min="11533" max="11533" width="8.28515625" style="39" customWidth="1"/>
    <col min="11534" max="11534" width="11.140625" style="39" customWidth="1"/>
    <col min="11535" max="11535" width="12.140625" style="39" customWidth="1"/>
    <col min="11536" max="11536" width="8.28515625" style="39" customWidth="1"/>
    <col min="11537" max="11537" width="12.140625" style="39" customWidth="1"/>
    <col min="11538" max="11538" width="16.7109375" style="39" customWidth="1"/>
    <col min="11539" max="11539" width="13.42578125" style="39" customWidth="1"/>
    <col min="11540" max="11540" width="11.28515625" style="39" customWidth="1"/>
    <col min="11541" max="11541" width="17.28515625" style="39" customWidth="1"/>
    <col min="11542" max="11542" width="13.7109375" style="39" customWidth="1"/>
    <col min="11543" max="11543" width="15.140625" style="39" customWidth="1"/>
    <col min="11544" max="11777" width="9.140625" style="39"/>
    <col min="11778" max="11778" width="42.5703125" style="39" bestFit="1" customWidth="1"/>
    <col min="11779" max="11779" width="15.28515625" style="39" customWidth="1"/>
    <col min="11780" max="11780" width="12.42578125" style="39" customWidth="1"/>
    <col min="11781" max="11781" width="9.140625" style="39"/>
    <col min="11782" max="11782" width="8.140625" style="39" customWidth="1"/>
    <col min="11783" max="11786" width="7.28515625" style="39" customWidth="1"/>
    <col min="11787" max="11787" width="7.85546875" style="39" customWidth="1"/>
    <col min="11788" max="11788" width="7.28515625" style="39" customWidth="1"/>
    <col min="11789" max="11789" width="8.28515625" style="39" customWidth="1"/>
    <col min="11790" max="11790" width="11.140625" style="39" customWidth="1"/>
    <col min="11791" max="11791" width="12.140625" style="39" customWidth="1"/>
    <col min="11792" max="11792" width="8.28515625" style="39" customWidth="1"/>
    <col min="11793" max="11793" width="12.140625" style="39" customWidth="1"/>
    <col min="11794" max="11794" width="16.7109375" style="39" customWidth="1"/>
    <col min="11795" max="11795" width="13.42578125" style="39" customWidth="1"/>
    <col min="11796" max="11796" width="11.28515625" style="39" customWidth="1"/>
    <col min="11797" max="11797" width="17.28515625" style="39" customWidth="1"/>
    <col min="11798" max="11798" width="13.7109375" style="39" customWidth="1"/>
    <col min="11799" max="11799" width="15.140625" style="39" customWidth="1"/>
    <col min="11800" max="12033" width="9.140625" style="39"/>
    <col min="12034" max="12034" width="42.5703125" style="39" bestFit="1" customWidth="1"/>
    <col min="12035" max="12035" width="15.28515625" style="39" customWidth="1"/>
    <col min="12036" max="12036" width="12.42578125" style="39" customWidth="1"/>
    <col min="12037" max="12037" width="9.140625" style="39"/>
    <col min="12038" max="12038" width="8.140625" style="39" customWidth="1"/>
    <col min="12039" max="12042" width="7.28515625" style="39" customWidth="1"/>
    <col min="12043" max="12043" width="7.85546875" style="39" customWidth="1"/>
    <col min="12044" max="12044" width="7.28515625" style="39" customWidth="1"/>
    <col min="12045" max="12045" width="8.28515625" style="39" customWidth="1"/>
    <col min="12046" max="12046" width="11.140625" style="39" customWidth="1"/>
    <col min="12047" max="12047" width="12.140625" style="39" customWidth="1"/>
    <col min="12048" max="12048" width="8.28515625" style="39" customWidth="1"/>
    <col min="12049" max="12049" width="12.140625" style="39" customWidth="1"/>
    <col min="12050" max="12050" width="16.7109375" style="39" customWidth="1"/>
    <col min="12051" max="12051" width="13.42578125" style="39" customWidth="1"/>
    <col min="12052" max="12052" width="11.28515625" style="39" customWidth="1"/>
    <col min="12053" max="12053" width="17.28515625" style="39" customWidth="1"/>
    <col min="12054" max="12054" width="13.7109375" style="39" customWidth="1"/>
    <col min="12055" max="12055" width="15.140625" style="39" customWidth="1"/>
    <col min="12056" max="12289" width="9.140625" style="39"/>
    <col min="12290" max="12290" width="42.5703125" style="39" bestFit="1" customWidth="1"/>
    <col min="12291" max="12291" width="15.28515625" style="39" customWidth="1"/>
    <col min="12292" max="12292" width="12.42578125" style="39" customWidth="1"/>
    <col min="12293" max="12293" width="9.140625" style="39"/>
    <col min="12294" max="12294" width="8.140625" style="39" customWidth="1"/>
    <col min="12295" max="12298" width="7.28515625" style="39" customWidth="1"/>
    <col min="12299" max="12299" width="7.85546875" style="39" customWidth="1"/>
    <col min="12300" max="12300" width="7.28515625" style="39" customWidth="1"/>
    <col min="12301" max="12301" width="8.28515625" style="39" customWidth="1"/>
    <col min="12302" max="12302" width="11.140625" style="39" customWidth="1"/>
    <col min="12303" max="12303" width="12.140625" style="39" customWidth="1"/>
    <col min="12304" max="12304" width="8.28515625" style="39" customWidth="1"/>
    <col min="12305" max="12305" width="12.140625" style="39" customWidth="1"/>
    <col min="12306" max="12306" width="16.7109375" style="39" customWidth="1"/>
    <col min="12307" max="12307" width="13.42578125" style="39" customWidth="1"/>
    <col min="12308" max="12308" width="11.28515625" style="39" customWidth="1"/>
    <col min="12309" max="12309" width="17.28515625" style="39" customWidth="1"/>
    <col min="12310" max="12310" width="13.7109375" style="39" customWidth="1"/>
    <col min="12311" max="12311" width="15.140625" style="39" customWidth="1"/>
    <col min="12312" max="12545" width="9.140625" style="39"/>
    <col min="12546" max="12546" width="42.5703125" style="39" bestFit="1" customWidth="1"/>
    <col min="12547" max="12547" width="15.28515625" style="39" customWidth="1"/>
    <col min="12548" max="12548" width="12.42578125" style="39" customWidth="1"/>
    <col min="12549" max="12549" width="9.140625" style="39"/>
    <col min="12550" max="12550" width="8.140625" style="39" customWidth="1"/>
    <col min="12551" max="12554" width="7.28515625" style="39" customWidth="1"/>
    <col min="12555" max="12555" width="7.85546875" style="39" customWidth="1"/>
    <col min="12556" max="12556" width="7.28515625" style="39" customWidth="1"/>
    <col min="12557" max="12557" width="8.28515625" style="39" customWidth="1"/>
    <col min="12558" max="12558" width="11.140625" style="39" customWidth="1"/>
    <col min="12559" max="12559" width="12.140625" style="39" customWidth="1"/>
    <col min="12560" max="12560" width="8.28515625" style="39" customWidth="1"/>
    <col min="12561" max="12561" width="12.140625" style="39" customWidth="1"/>
    <col min="12562" max="12562" width="16.7109375" style="39" customWidth="1"/>
    <col min="12563" max="12563" width="13.42578125" style="39" customWidth="1"/>
    <col min="12564" max="12564" width="11.28515625" style="39" customWidth="1"/>
    <col min="12565" max="12565" width="17.28515625" style="39" customWidth="1"/>
    <col min="12566" max="12566" width="13.7109375" style="39" customWidth="1"/>
    <col min="12567" max="12567" width="15.140625" style="39" customWidth="1"/>
    <col min="12568" max="12801" width="9.140625" style="39"/>
    <col min="12802" max="12802" width="42.5703125" style="39" bestFit="1" customWidth="1"/>
    <col min="12803" max="12803" width="15.28515625" style="39" customWidth="1"/>
    <col min="12804" max="12804" width="12.42578125" style="39" customWidth="1"/>
    <col min="12805" max="12805" width="9.140625" style="39"/>
    <col min="12806" max="12806" width="8.140625" style="39" customWidth="1"/>
    <col min="12807" max="12810" width="7.28515625" style="39" customWidth="1"/>
    <col min="12811" max="12811" width="7.85546875" style="39" customWidth="1"/>
    <col min="12812" max="12812" width="7.28515625" style="39" customWidth="1"/>
    <col min="12813" max="12813" width="8.28515625" style="39" customWidth="1"/>
    <col min="12814" max="12814" width="11.140625" style="39" customWidth="1"/>
    <col min="12815" max="12815" width="12.140625" style="39" customWidth="1"/>
    <col min="12816" max="12816" width="8.28515625" style="39" customWidth="1"/>
    <col min="12817" max="12817" width="12.140625" style="39" customWidth="1"/>
    <col min="12818" max="12818" width="16.7109375" style="39" customWidth="1"/>
    <col min="12819" max="12819" width="13.42578125" style="39" customWidth="1"/>
    <col min="12820" max="12820" width="11.28515625" style="39" customWidth="1"/>
    <col min="12821" max="12821" width="17.28515625" style="39" customWidth="1"/>
    <col min="12822" max="12822" width="13.7109375" style="39" customWidth="1"/>
    <col min="12823" max="12823" width="15.140625" style="39" customWidth="1"/>
    <col min="12824" max="13057" width="9.140625" style="39"/>
    <col min="13058" max="13058" width="42.5703125" style="39" bestFit="1" customWidth="1"/>
    <col min="13059" max="13059" width="15.28515625" style="39" customWidth="1"/>
    <col min="13060" max="13060" width="12.42578125" style="39" customWidth="1"/>
    <col min="13061" max="13061" width="9.140625" style="39"/>
    <col min="13062" max="13062" width="8.140625" style="39" customWidth="1"/>
    <col min="13063" max="13066" width="7.28515625" style="39" customWidth="1"/>
    <col min="13067" max="13067" width="7.85546875" style="39" customWidth="1"/>
    <col min="13068" max="13068" width="7.28515625" style="39" customWidth="1"/>
    <col min="13069" max="13069" width="8.28515625" style="39" customWidth="1"/>
    <col min="13070" max="13070" width="11.140625" style="39" customWidth="1"/>
    <col min="13071" max="13071" width="12.140625" style="39" customWidth="1"/>
    <col min="13072" max="13072" width="8.28515625" style="39" customWidth="1"/>
    <col min="13073" max="13073" width="12.140625" style="39" customWidth="1"/>
    <col min="13074" max="13074" width="16.7109375" style="39" customWidth="1"/>
    <col min="13075" max="13075" width="13.42578125" style="39" customWidth="1"/>
    <col min="13076" max="13076" width="11.28515625" style="39" customWidth="1"/>
    <col min="13077" max="13077" width="17.28515625" style="39" customWidth="1"/>
    <col min="13078" max="13078" width="13.7109375" style="39" customWidth="1"/>
    <col min="13079" max="13079" width="15.140625" style="39" customWidth="1"/>
    <col min="13080" max="13313" width="9.140625" style="39"/>
    <col min="13314" max="13314" width="42.5703125" style="39" bestFit="1" customWidth="1"/>
    <col min="13315" max="13315" width="15.28515625" style="39" customWidth="1"/>
    <col min="13316" max="13316" width="12.42578125" style="39" customWidth="1"/>
    <col min="13317" max="13317" width="9.140625" style="39"/>
    <col min="13318" max="13318" width="8.140625" style="39" customWidth="1"/>
    <col min="13319" max="13322" width="7.28515625" style="39" customWidth="1"/>
    <col min="13323" max="13323" width="7.85546875" style="39" customWidth="1"/>
    <col min="13324" max="13324" width="7.28515625" style="39" customWidth="1"/>
    <col min="13325" max="13325" width="8.28515625" style="39" customWidth="1"/>
    <col min="13326" max="13326" width="11.140625" style="39" customWidth="1"/>
    <col min="13327" max="13327" width="12.140625" style="39" customWidth="1"/>
    <col min="13328" max="13328" width="8.28515625" style="39" customWidth="1"/>
    <col min="13329" max="13329" width="12.140625" style="39" customWidth="1"/>
    <col min="13330" max="13330" width="16.7109375" style="39" customWidth="1"/>
    <col min="13331" max="13331" width="13.42578125" style="39" customWidth="1"/>
    <col min="13332" max="13332" width="11.28515625" style="39" customWidth="1"/>
    <col min="13333" max="13333" width="17.28515625" style="39" customWidth="1"/>
    <col min="13334" max="13334" width="13.7109375" style="39" customWidth="1"/>
    <col min="13335" max="13335" width="15.140625" style="39" customWidth="1"/>
    <col min="13336" max="13569" width="9.140625" style="39"/>
    <col min="13570" max="13570" width="42.5703125" style="39" bestFit="1" customWidth="1"/>
    <col min="13571" max="13571" width="15.28515625" style="39" customWidth="1"/>
    <col min="13572" max="13572" width="12.42578125" style="39" customWidth="1"/>
    <col min="13573" max="13573" width="9.140625" style="39"/>
    <col min="13574" max="13574" width="8.140625" style="39" customWidth="1"/>
    <col min="13575" max="13578" width="7.28515625" style="39" customWidth="1"/>
    <col min="13579" max="13579" width="7.85546875" style="39" customWidth="1"/>
    <col min="13580" max="13580" width="7.28515625" style="39" customWidth="1"/>
    <col min="13581" max="13581" width="8.28515625" style="39" customWidth="1"/>
    <col min="13582" max="13582" width="11.140625" style="39" customWidth="1"/>
    <col min="13583" max="13583" width="12.140625" style="39" customWidth="1"/>
    <col min="13584" max="13584" width="8.28515625" style="39" customWidth="1"/>
    <col min="13585" max="13585" width="12.140625" style="39" customWidth="1"/>
    <col min="13586" max="13586" width="16.7109375" style="39" customWidth="1"/>
    <col min="13587" max="13587" width="13.42578125" style="39" customWidth="1"/>
    <col min="13588" max="13588" width="11.28515625" style="39" customWidth="1"/>
    <col min="13589" max="13589" width="17.28515625" style="39" customWidth="1"/>
    <col min="13590" max="13590" width="13.7109375" style="39" customWidth="1"/>
    <col min="13591" max="13591" width="15.140625" style="39" customWidth="1"/>
    <col min="13592" max="13825" width="9.140625" style="39"/>
    <col min="13826" max="13826" width="42.5703125" style="39" bestFit="1" customWidth="1"/>
    <col min="13827" max="13827" width="15.28515625" style="39" customWidth="1"/>
    <col min="13828" max="13828" width="12.42578125" style="39" customWidth="1"/>
    <col min="13829" max="13829" width="9.140625" style="39"/>
    <col min="13830" max="13830" width="8.140625" style="39" customWidth="1"/>
    <col min="13831" max="13834" width="7.28515625" style="39" customWidth="1"/>
    <col min="13835" max="13835" width="7.85546875" style="39" customWidth="1"/>
    <col min="13836" max="13836" width="7.28515625" style="39" customWidth="1"/>
    <col min="13837" max="13837" width="8.28515625" style="39" customWidth="1"/>
    <col min="13838" max="13838" width="11.140625" style="39" customWidth="1"/>
    <col min="13839" max="13839" width="12.140625" style="39" customWidth="1"/>
    <col min="13840" max="13840" width="8.28515625" style="39" customWidth="1"/>
    <col min="13841" max="13841" width="12.140625" style="39" customWidth="1"/>
    <col min="13842" max="13842" width="16.7109375" style="39" customWidth="1"/>
    <col min="13843" max="13843" width="13.42578125" style="39" customWidth="1"/>
    <col min="13844" max="13844" width="11.28515625" style="39" customWidth="1"/>
    <col min="13845" max="13845" width="17.28515625" style="39" customWidth="1"/>
    <col min="13846" max="13846" width="13.7109375" style="39" customWidth="1"/>
    <col min="13847" max="13847" width="15.140625" style="39" customWidth="1"/>
    <col min="13848" max="14081" width="9.140625" style="39"/>
    <col min="14082" max="14082" width="42.5703125" style="39" bestFit="1" customWidth="1"/>
    <col min="14083" max="14083" width="15.28515625" style="39" customWidth="1"/>
    <col min="14084" max="14084" width="12.42578125" style="39" customWidth="1"/>
    <col min="14085" max="14085" width="9.140625" style="39"/>
    <col min="14086" max="14086" width="8.140625" style="39" customWidth="1"/>
    <col min="14087" max="14090" width="7.28515625" style="39" customWidth="1"/>
    <col min="14091" max="14091" width="7.85546875" style="39" customWidth="1"/>
    <col min="14092" max="14092" width="7.28515625" style="39" customWidth="1"/>
    <col min="14093" max="14093" width="8.28515625" style="39" customWidth="1"/>
    <col min="14094" max="14094" width="11.140625" style="39" customWidth="1"/>
    <col min="14095" max="14095" width="12.140625" style="39" customWidth="1"/>
    <col min="14096" max="14096" width="8.28515625" style="39" customWidth="1"/>
    <col min="14097" max="14097" width="12.140625" style="39" customWidth="1"/>
    <col min="14098" max="14098" width="16.7109375" style="39" customWidth="1"/>
    <col min="14099" max="14099" width="13.42578125" style="39" customWidth="1"/>
    <col min="14100" max="14100" width="11.28515625" style="39" customWidth="1"/>
    <col min="14101" max="14101" width="17.28515625" style="39" customWidth="1"/>
    <col min="14102" max="14102" width="13.7109375" style="39" customWidth="1"/>
    <col min="14103" max="14103" width="15.140625" style="39" customWidth="1"/>
    <col min="14104" max="14337" width="9.140625" style="39"/>
    <col min="14338" max="14338" width="42.5703125" style="39" bestFit="1" customWidth="1"/>
    <col min="14339" max="14339" width="15.28515625" style="39" customWidth="1"/>
    <col min="14340" max="14340" width="12.42578125" style="39" customWidth="1"/>
    <col min="14341" max="14341" width="9.140625" style="39"/>
    <col min="14342" max="14342" width="8.140625" style="39" customWidth="1"/>
    <col min="14343" max="14346" width="7.28515625" style="39" customWidth="1"/>
    <col min="14347" max="14347" width="7.85546875" style="39" customWidth="1"/>
    <col min="14348" max="14348" width="7.28515625" style="39" customWidth="1"/>
    <col min="14349" max="14349" width="8.28515625" style="39" customWidth="1"/>
    <col min="14350" max="14350" width="11.140625" style="39" customWidth="1"/>
    <col min="14351" max="14351" width="12.140625" style="39" customWidth="1"/>
    <col min="14352" max="14352" width="8.28515625" style="39" customWidth="1"/>
    <col min="14353" max="14353" width="12.140625" style="39" customWidth="1"/>
    <col min="14354" max="14354" width="16.7109375" style="39" customWidth="1"/>
    <col min="14355" max="14355" width="13.42578125" style="39" customWidth="1"/>
    <col min="14356" max="14356" width="11.28515625" style="39" customWidth="1"/>
    <col min="14357" max="14357" width="17.28515625" style="39" customWidth="1"/>
    <col min="14358" max="14358" width="13.7109375" style="39" customWidth="1"/>
    <col min="14359" max="14359" width="15.140625" style="39" customWidth="1"/>
    <col min="14360" max="14593" width="9.140625" style="39"/>
    <col min="14594" max="14594" width="42.5703125" style="39" bestFit="1" customWidth="1"/>
    <col min="14595" max="14595" width="15.28515625" style="39" customWidth="1"/>
    <col min="14596" max="14596" width="12.42578125" style="39" customWidth="1"/>
    <col min="14597" max="14597" width="9.140625" style="39"/>
    <col min="14598" max="14598" width="8.140625" style="39" customWidth="1"/>
    <col min="14599" max="14602" width="7.28515625" style="39" customWidth="1"/>
    <col min="14603" max="14603" width="7.85546875" style="39" customWidth="1"/>
    <col min="14604" max="14604" width="7.28515625" style="39" customWidth="1"/>
    <col min="14605" max="14605" width="8.28515625" style="39" customWidth="1"/>
    <col min="14606" max="14606" width="11.140625" style="39" customWidth="1"/>
    <col min="14607" max="14607" width="12.140625" style="39" customWidth="1"/>
    <col min="14608" max="14608" width="8.28515625" style="39" customWidth="1"/>
    <col min="14609" max="14609" width="12.140625" style="39" customWidth="1"/>
    <col min="14610" max="14610" width="16.7109375" style="39" customWidth="1"/>
    <col min="14611" max="14611" width="13.42578125" style="39" customWidth="1"/>
    <col min="14612" max="14612" width="11.28515625" style="39" customWidth="1"/>
    <col min="14613" max="14613" width="17.28515625" style="39" customWidth="1"/>
    <col min="14614" max="14614" width="13.7109375" style="39" customWidth="1"/>
    <col min="14615" max="14615" width="15.140625" style="39" customWidth="1"/>
    <col min="14616" max="14849" width="9.140625" style="39"/>
    <col min="14850" max="14850" width="42.5703125" style="39" bestFit="1" customWidth="1"/>
    <col min="14851" max="14851" width="15.28515625" style="39" customWidth="1"/>
    <col min="14852" max="14852" width="12.42578125" style="39" customWidth="1"/>
    <col min="14853" max="14853" width="9.140625" style="39"/>
    <col min="14854" max="14854" width="8.140625" style="39" customWidth="1"/>
    <col min="14855" max="14858" width="7.28515625" style="39" customWidth="1"/>
    <col min="14859" max="14859" width="7.85546875" style="39" customWidth="1"/>
    <col min="14860" max="14860" width="7.28515625" style="39" customWidth="1"/>
    <col min="14861" max="14861" width="8.28515625" style="39" customWidth="1"/>
    <col min="14862" max="14862" width="11.140625" style="39" customWidth="1"/>
    <col min="14863" max="14863" width="12.140625" style="39" customWidth="1"/>
    <col min="14864" max="14864" width="8.28515625" style="39" customWidth="1"/>
    <col min="14865" max="14865" width="12.140625" style="39" customWidth="1"/>
    <col min="14866" max="14866" width="16.7109375" style="39" customWidth="1"/>
    <col min="14867" max="14867" width="13.42578125" style="39" customWidth="1"/>
    <col min="14868" max="14868" width="11.28515625" style="39" customWidth="1"/>
    <col min="14869" max="14869" width="17.28515625" style="39" customWidth="1"/>
    <col min="14870" max="14870" width="13.7109375" style="39" customWidth="1"/>
    <col min="14871" max="14871" width="15.140625" style="39" customWidth="1"/>
    <col min="14872" max="15105" width="9.140625" style="39"/>
    <col min="15106" max="15106" width="42.5703125" style="39" bestFit="1" customWidth="1"/>
    <col min="15107" max="15107" width="15.28515625" style="39" customWidth="1"/>
    <col min="15108" max="15108" width="12.42578125" style="39" customWidth="1"/>
    <col min="15109" max="15109" width="9.140625" style="39"/>
    <col min="15110" max="15110" width="8.140625" style="39" customWidth="1"/>
    <col min="15111" max="15114" width="7.28515625" style="39" customWidth="1"/>
    <col min="15115" max="15115" width="7.85546875" style="39" customWidth="1"/>
    <col min="15116" max="15116" width="7.28515625" style="39" customWidth="1"/>
    <col min="15117" max="15117" width="8.28515625" style="39" customWidth="1"/>
    <col min="15118" max="15118" width="11.140625" style="39" customWidth="1"/>
    <col min="15119" max="15119" width="12.140625" style="39" customWidth="1"/>
    <col min="15120" max="15120" width="8.28515625" style="39" customWidth="1"/>
    <col min="15121" max="15121" width="12.140625" style="39" customWidth="1"/>
    <col min="15122" max="15122" width="16.7109375" style="39" customWidth="1"/>
    <col min="15123" max="15123" width="13.42578125" style="39" customWidth="1"/>
    <col min="15124" max="15124" width="11.28515625" style="39" customWidth="1"/>
    <col min="15125" max="15125" width="17.28515625" style="39" customWidth="1"/>
    <col min="15126" max="15126" width="13.7109375" style="39" customWidth="1"/>
    <col min="15127" max="15127" width="15.140625" style="39" customWidth="1"/>
    <col min="15128" max="15361" width="9.140625" style="39"/>
    <col min="15362" max="15362" width="42.5703125" style="39" bestFit="1" customWidth="1"/>
    <col min="15363" max="15363" width="15.28515625" style="39" customWidth="1"/>
    <col min="15364" max="15364" width="12.42578125" style="39" customWidth="1"/>
    <col min="15365" max="15365" width="9.140625" style="39"/>
    <col min="15366" max="15366" width="8.140625" style="39" customWidth="1"/>
    <col min="15367" max="15370" width="7.28515625" style="39" customWidth="1"/>
    <col min="15371" max="15371" width="7.85546875" style="39" customWidth="1"/>
    <col min="15372" max="15372" width="7.28515625" style="39" customWidth="1"/>
    <col min="15373" max="15373" width="8.28515625" style="39" customWidth="1"/>
    <col min="15374" max="15374" width="11.140625" style="39" customWidth="1"/>
    <col min="15375" max="15375" width="12.140625" style="39" customWidth="1"/>
    <col min="15376" max="15376" width="8.28515625" style="39" customWidth="1"/>
    <col min="15377" max="15377" width="12.140625" style="39" customWidth="1"/>
    <col min="15378" max="15378" width="16.7109375" style="39" customWidth="1"/>
    <col min="15379" max="15379" width="13.42578125" style="39" customWidth="1"/>
    <col min="15380" max="15380" width="11.28515625" style="39" customWidth="1"/>
    <col min="15381" max="15381" width="17.28515625" style="39" customWidth="1"/>
    <col min="15382" max="15382" width="13.7109375" style="39" customWidth="1"/>
    <col min="15383" max="15383" width="15.140625" style="39" customWidth="1"/>
    <col min="15384" max="15617" width="9.140625" style="39"/>
    <col min="15618" max="15618" width="42.5703125" style="39" bestFit="1" customWidth="1"/>
    <col min="15619" max="15619" width="15.28515625" style="39" customWidth="1"/>
    <col min="15620" max="15620" width="12.42578125" style="39" customWidth="1"/>
    <col min="15621" max="15621" width="9.140625" style="39"/>
    <col min="15622" max="15622" width="8.140625" style="39" customWidth="1"/>
    <col min="15623" max="15626" width="7.28515625" style="39" customWidth="1"/>
    <col min="15627" max="15627" width="7.85546875" style="39" customWidth="1"/>
    <col min="15628" max="15628" width="7.28515625" style="39" customWidth="1"/>
    <col min="15629" max="15629" width="8.28515625" style="39" customWidth="1"/>
    <col min="15630" max="15630" width="11.140625" style="39" customWidth="1"/>
    <col min="15631" max="15631" width="12.140625" style="39" customWidth="1"/>
    <col min="15632" max="15632" width="8.28515625" style="39" customWidth="1"/>
    <col min="15633" max="15633" width="12.140625" style="39" customWidth="1"/>
    <col min="15634" max="15634" width="16.7109375" style="39" customWidth="1"/>
    <col min="15635" max="15635" width="13.42578125" style="39" customWidth="1"/>
    <col min="15636" max="15636" width="11.28515625" style="39" customWidth="1"/>
    <col min="15637" max="15637" width="17.28515625" style="39" customWidth="1"/>
    <col min="15638" max="15638" width="13.7109375" style="39" customWidth="1"/>
    <col min="15639" max="15639" width="15.140625" style="39" customWidth="1"/>
    <col min="15640" max="15873" width="9.140625" style="39"/>
    <col min="15874" max="15874" width="42.5703125" style="39" bestFit="1" customWidth="1"/>
    <col min="15875" max="15875" width="15.28515625" style="39" customWidth="1"/>
    <col min="15876" max="15876" width="12.42578125" style="39" customWidth="1"/>
    <col min="15877" max="15877" width="9.140625" style="39"/>
    <col min="15878" max="15878" width="8.140625" style="39" customWidth="1"/>
    <col min="15879" max="15882" width="7.28515625" style="39" customWidth="1"/>
    <col min="15883" max="15883" width="7.85546875" style="39" customWidth="1"/>
    <col min="15884" max="15884" width="7.28515625" style="39" customWidth="1"/>
    <col min="15885" max="15885" width="8.28515625" style="39" customWidth="1"/>
    <col min="15886" max="15886" width="11.140625" style="39" customWidth="1"/>
    <col min="15887" max="15887" width="12.140625" style="39" customWidth="1"/>
    <col min="15888" max="15888" width="8.28515625" style="39" customWidth="1"/>
    <col min="15889" max="15889" width="12.140625" style="39" customWidth="1"/>
    <col min="15890" max="15890" width="16.7109375" style="39" customWidth="1"/>
    <col min="15891" max="15891" width="13.42578125" style="39" customWidth="1"/>
    <col min="15892" max="15892" width="11.28515625" style="39" customWidth="1"/>
    <col min="15893" max="15893" width="17.28515625" style="39" customWidth="1"/>
    <col min="15894" max="15894" width="13.7109375" style="39" customWidth="1"/>
    <col min="15895" max="15895" width="15.140625" style="39" customWidth="1"/>
    <col min="15896" max="16129" width="9.140625" style="39"/>
    <col min="16130" max="16130" width="42.5703125" style="39" bestFit="1" customWidth="1"/>
    <col min="16131" max="16131" width="15.28515625" style="39" customWidth="1"/>
    <col min="16132" max="16132" width="12.42578125" style="39" customWidth="1"/>
    <col min="16133" max="16133" width="9.140625" style="39"/>
    <col min="16134" max="16134" width="8.140625" style="39" customWidth="1"/>
    <col min="16135" max="16138" width="7.28515625" style="39" customWidth="1"/>
    <col min="16139" max="16139" width="7.85546875" style="39" customWidth="1"/>
    <col min="16140" max="16140" width="7.28515625" style="39" customWidth="1"/>
    <col min="16141" max="16141" width="8.28515625" style="39" customWidth="1"/>
    <col min="16142" max="16142" width="11.140625" style="39" customWidth="1"/>
    <col min="16143" max="16143" width="12.140625" style="39" customWidth="1"/>
    <col min="16144" max="16144" width="8.28515625" style="39" customWidth="1"/>
    <col min="16145" max="16145" width="12.140625" style="39" customWidth="1"/>
    <col min="16146" max="16146" width="16.7109375" style="39" customWidth="1"/>
    <col min="16147" max="16147" width="13.42578125" style="39" customWidth="1"/>
    <col min="16148" max="16148" width="11.28515625" style="39" customWidth="1"/>
    <col min="16149" max="16149" width="17.28515625" style="39" customWidth="1"/>
    <col min="16150" max="16150" width="13.7109375" style="39" customWidth="1"/>
    <col min="16151" max="16151" width="15.140625" style="39" customWidth="1"/>
    <col min="16152" max="16384" width="9.140625" style="39"/>
  </cols>
  <sheetData>
    <row r="1" spans="1:23" ht="15.75" x14ac:dyDescent="0.25">
      <c r="W1" s="2" t="s">
        <v>98</v>
      </c>
    </row>
    <row r="2" spans="1:23" ht="15.75" x14ac:dyDescent="0.25">
      <c r="W2" s="2" t="s">
        <v>0</v>
      </c>
    </row>
    <row r="3" spans="1:23" ht="15.75" x14ac:dyDescent="0.25">
      <c r="W3" s="2" t="str">
        <f>'[1]приложение 8'!M4</f>
        <v>от «24»марта 2010 г. №114</v>
      </c>
    </row>
    <row r="4" spans="1:23" ht="15.75" x14ac:dyDescent="0.25">
      <c r="W4" s="46"/>
    </row>
    <row r="5" spans="1:23" ht="15.75" x14ac:dyDescent="0.25">
      <c r="W5" s="45"/>
    </row>
    <row r="6" spans="1:23" ht="15.75" x14ac:dyDescent="0.25">
      <c r="W6" s="45"/>
    </row>
    <row r="7" spans="1:23" ht="36" customHeight="1" x14ac:dyDescent="0.25">
      <c r="A7" s="110" t="s">
        <v>97</v>
      </c>
      <c r="B7" s="111"/>
      <c r="C7" s="111"/>
      <c r="D7" s="111"/>
      <c r="E7" s="111"/>
      <c r="F7" s="111"/>
      <c r="G7" s="111"/>
      <c r="H7" s="111"/>
      <c r="I7" s="111"/>
      <c r="J7" s="111"/>
      <c r="K7" s="111"/>
      <c r="L7" s="111"/>
      <c r="M7" s="111"/>
      <c r="N7" s="111"/>
      <c r="O7" s="111"/>
      <c r="P7" s="111"/>
      <c r="Q7" s="111"/>
      <c r="R7" s="111"/>
      <c r="S7" s="111"/>
      <c r="T7" s="111"/>
      <c r="U7" s="111"/>
      <c r="V7" s="111"/>
      <c r="W7" s="111"/>
    </row>
    <row r="8" spans="1:23" ht="15.75" x14ac:dyDescent="0.25">
      <c r="W8" s="45" t="s">
        <v>1</v>
      </c>
    </row>
    <row r="9" spans="1:23" ht="15.75" x14ac:dyDescent="0.25">
      <c r="W9" s="45" t="s">
        <v>2</v>
      </c>
    </row>
    <row r="10" spans="1:23" ht="15.75" x14ac:dyDescent="0.25">
      <c r="W10" s="45"/>
    </row>
    <row r="11" spans="1:23" ht="15.75" x14ac:dyDescent="0.25">
      <c r="C11" s="41"/>
      <c r="W11" s="46" t="s">
        <v>3</v>
      </c>
    </row>
    <row r="12" spans="1:23" ht="15.75" x14ac:dyDescent="0.25">
      <c r="A12" s="47"/>
      <c r="W12" s="45" t="s">
        <v>155</v>
      </c>
    </row>
    <row r="13" spans="1:23" ht="15.75" x14ac:dyDescent="0.25">
      <c r="A13" s="47"/>
      <c r="W13" s="45" t="s">
        <v>4</v>
      </c>
    </row>
    <row r="14" spans="1:23" ht="16.5" thickBot="1" x14ac:dyDescent="0.3"/>
    <row r="15" spans="1:23" ht="27.75" customHeight="1" x14ac:dyDescent="0.25">
      <c r="A15" s="112" t="s">
        <v>5</v>
      </c>
      <c r="B15" s="114" t="s">
        <v>6</v>
      </c>
      <c r="C15" s="114" t="s">
        <v>7</v>
      </c>
      <c r="D15" s="115" t="s">
        <v>8</v>
      </c>
      <c r="E15" s="115"/>
      <c r="F15" s="115"/>
      <c r="G15" s="115"/>
      <c r="H15" s="116"/>
      <c r="I15" s="116"/>
      <c r="J15" s="116"/>
      <c r="K15" s="116"/>
      <c r="L15" s="116"/>
      <c r="M15" s="116"/>
      <c r="N15" s="115" t="s">
        <v>9</v>
      </c>
      <c r="O15" s="115"/>
      <c r="P15" s="115" t="s">
        <v>10</v>
      </c>
      <c r="Q15" s="115"/>
      <c r="R15" s="115" t="s">
        <v>11</v>
      </c>
      <c r="S15" s="114" t="s">
        <v>12</v>
      </c>
      <c r="T15" s="114"/>
      <c r="U15" s="114"/>
      <c r="V15" s="114"/>
      <c r="W15" s="117" t="s">
        <v>13</v>
      </c>
    </row>
    <row r="16" spans="1:23" ht="109.5" customHeight="1" x14ac:dyDescent="0.25">
      <c r="A16" s="113"/>
      <c r="B16" s="106"/>
      <c r="C16" s="106"/>
      <c r="D16" s="109" t="s">
        <v>154</v>
      </c>
      <c r="E16" s="109"/>
      <c r="F16" s="109" t="s">
        <v>14</v>
      </c>
      <c r="G16" s="109"/>
      <c r="H16" s="109" t="s">
        <v>15</v>
      </c>
      <c r="I16" s="109"/>
      <c r="J16" s="109" t="s">
        <v>16</v>
      </c>
      <c r="K16" s="109"/>
      <c r="L16" s="109" t="s">
        <v>17</v>
      </c>
      <c r="M16" s="109"/>
      <c r="N16" s="109"/>
      <c r="O16" s="109"/>
      <c r="P16" s="109"/>
      <c r="Q16" s="109"/>
      <c r="R16" s="109"/>
      <c r="S16" s="109" t="s">
        <v>18</v>
      </c>
      <c r="T16" s="106" t="s">
        <v>19</v>
      </c>
      <c r="U16" s="106" t="s">
        <v>20</v>
      </c>
      <c r="V16" s="106"/>
      <c r="W16" s="118"/>
    </row>
    <row r="17" spans="1:23" ht="125.25" customHeight="1" x14ac:dyDescent="0.25">
      <c r="A17" s="113"/>
      <c r="B17" s="106"/>
      <c r="C17" s="106"/>
      <c r="D17" s="36" t="s">
        <v>21</v>
      </c>
      <c r="E17" s="48" t="s">
        <v>22</v>
      </c>
      <c r="F17" s="36" t="s">
        <v>23</v>
      </c>
      <c r="G17" s="36" t="s">
        <v>24</v>
      </c>
      <c r="H17" s="36" t="s">
        <v>23</v>
      </c>
      <c r="I17" s="36" t="s">
        <v>24</v>
      </c>
      <c r="J17" s="36" t="s">
        <v>23</v>
      </c>
      <c r="K17" s="36" t="s">
        <v>24</v>
      </c>
      <c r="L17" s="36" t="s">
        <v>23</v>
      </c>
      <c r="M17" s="36" t="s">
        <v>24</v>
      </c>
      <c r="N17" s="36" t="s">
        <v>25</v>
      </c>
      <c r="O17" s="36" t="s">
        <v>26</v>
      </c>
      <c r="P17" s="38" t="s">
        <v>25</v>
      </c>
      <c r="Q17" s="36" t="s">
        <v>27</v>
      </c>
      <c r="R17" s="109"/>
      <c r="S17" s="109"/>
      <c r="T17" s="106"/>
      <c r="U17" s="37" t="s">
        <v>28</v>
      </c>
      <c r="V17" s="37" t="s">
        <v>29</v>
      </c>
      <c r="W17" s="118"/>
    </row>
    <row r="18" spans="1:23" ht="27.75" customHeight="1" x14ac:dyDescent="0.25">
      <c r="A18" s="3"/>
      <c r="B18" s="4" t="s">
        <v>30</v>
      </c>
      <c r="C18" s="4"/>
      <c r="D18" s="38">
        <f>D19+D34</f>
        <v>193.09873999999996</v>
      </c>
      <c r="E18" s="49">
        <f>E19+E34</f>
        <v>245.48433249380003</v>
      </c>
      <c r="F18" s="38">
        <f t="shared" ref="F18:R18" si="0">F19+F34</f>
        <v>10.750679999999999</v>
      </c>
      <c r="G18" s="38">
        <f t="shared" si="0"/>
        <v>25.9385759908</v>
      </c>
      <c r="H18" s="38">
        <f t="shared" si="0"/>
        <v>27.670999999999996</v>
      </c>
      <c r="I18" s="38">
        <f t="shared" si="0"/>
        <v>40.605195538799997</v>
      </c>
      <c r="J18" s="38">
        <f t="shared" si="0"/>
        <v>0</v>
      </c>
      <c r="K18" s="38">
        <f t="shared" si="0"/>
        <v>40.622484308799997</v>
      </c>
      <c r="L18" s="38">
        <f t="shared" si="0"/>
        <v>0</v>
      </c>
      <c r="M18" s="38">
        <f>M19+M34</f>
        <v>138.31807665540001</v>
      </c>
      <c r="N18" s="38">
        <f t="shared" si="0"/>
        <v>206.3358065164</v>
      </c>
      <c r="O18" s="38">
        <f t="shared" si="0"/>
        <v>101.00967711040001</v>
      </c>
      <c r="P18" s="38">
        <f t="shared" si="0"/>
        <v>103.75694063779999</v>
      </c>
      <c r="Q18" s="38">
        <f t="shared" si="0"/>
        <v>21.792004920399997</v>
      </c>
      <c r="R18" s="38">
        <f t="shared" si="0"/>
        <v>57.269751851799967</v>
      </c>
      <c r="S18" s="5"/>
      <c r="T18" s="6"/>
      <c r="U18" s="6"/>
      <c r="V18" s="6"/>
      <c r="W18" s="7"/>
    </row>
    <row r="19" spans="1:23" ht="27.75" customHeight="1" x14ac:dyDescent="0.25">
      <c r="A19" s="8">
        <v>1</v>
      </c>
      <c r="B19" s="9" t="s">
        <v>31</v>
      </c>
      <c r="C19" s="4"/>
      <c r="D19" s="38">
        <f t="shared" ref="D19:R19" si="1">D20+D29+D30</f>
        <v>8.0735599999999987</v>
      </c>
      <c r="E19" s="49">
        <f>E20+E29+E30</f>
        <v>54.91147521820001</v>
      </c>
      <c r="F19" s="38">
        <f t="shared" si="1"/>
        <v>1.6519999999999999</v>
      </c>
      <c r="G19" s="38">
        <f t="shared" si="1"/>
        <v>4.1538411565999995</v>
      </c>
      <c r="H19" s="38">
        <f t="shared" si="1"/>
        <v>2.1240000000000001</v>
      </c>
      <c r="I19" s="38">
        <f t="shared" si="1"/>
        <v>1.7186390013999999</v>
      </c>
      <c r="J19" s="38">
        <f t="shared" si="1"/>
        <v>0</v>
      </c>
      <c r="K19" s="38">
        <f t="shared" si="1"/>
        <v>4.7828414073999994</v>
      </c>
      <c r="L19" s="38">
        <f t="shared" si="1"/>
        <v>0</v>
      </c>
      <c r="M19" s="38">
        <f t="shared" si="1"/>
        <v>44.256153652800002</v>
      </c>
      <c r="N19" s="38">
        <f t="shared" si="1"/>
        <v>15.8307638408</v>
      </c>
      <c r="O19" s="38">
        <f t="shared" si="1"/>
        <v>6.763799282199999</v>
      </c>
      <c r="P19" s="38">
        <f t="shared" si="1"/>
        <v>18.648503564400002</v>
      </c>
      <c r="Q19" s="38">
        <f t="shared" si="1"/>
        <v>6.3297938425999991</v>
      </c>
      <c r="R19" s="38">
        <f t="shared" si="1"/>
        <v>0</v>
      </c>
      <c r="S19" s="5"/>
      <c r="T19" s="6"/>
      <c r="U19" s="6"/>
      <c r="V19" s="6"/>
      <c r="W19" s="7"/>
    </row>
    <row r="20" spans="1:23" ht="27.75" customHeight="1" x14ac:dyDescent="0.25">
      <c r="A20" s="10" t="s">
        <v>32</v>
      </c>
      <c r="B20" s="9" t="s">
        <v>33</v>
      </c>
      <c r="C20" s="4"/>
      <c r="D20" s="38">
        <f t="shared" ref="D20:R20" si="2">D21+D24+D27</f>
        <v>0</v>
      </c>
      <c r="E20" s="49">
        <f>E21+E24+E27</f>
        <v>6.4793950567999996</v>
      </c>
      <c r="F20" s="38">
        <f t="shared" si="2"/>
        <v>0</v>
      </c>
      <c r="G20" s="38">
        <f t="shared" si="2"/>
        <v>1.5457718569999999</v>
      </c>
      <c r="H20" s="38">
        <f t="shared" si="2"/>
        <v>0</v>
      </c>
      <c r="I20" s="38">
        <f t="shared" si="2"/>
        <v>0.62855668880000004</v>
      </c>
      <c r="J20" s="38">
        <f t="shared" si="2"/>
        <v>0</v>
      </c>
      <c r="K20" s="38">
        <f t="shared" si="2"/>
        <v>0.51104799359999997</v>
      </c>
      <c r="L20" s="38">
        <f t="shared" si="2"/>
        <v>0</v>
      </c>
      <c r="M20" s="38">
        <f t="shared" si="2"/>
        <v>3.7940185173999992</v>
      </c>
      <c r="N20" s="38">
        <f t="shared" si="2"/>
        <v>6.4793950567999996</v>
      </c>
      <c r="O20" s="38">
        <f t="shared" si="2"/>
        <v>3.7940185173999992</v>
      </c>
      <c r="P20" s="38">
        <f t="shared" si="2"/>
        <v>9.2971347804000004</v>
      </c>
      <c r="Q20" s="38">
        <f t="shared" si="2"/>
        <v>3.3600130777999997</v>
      </c>
      <c r="R20" s="38">
        <f t="shared" si="2"/>
        <v>0</v>
      </c>
      <c r="S20" s="5"/>
      <c r="T20" s="6"/>
      <c r="U20" s="6"/>
      <c r="V20" s="6"/>
      <c r="W20" s="7"/>
    </row>
    <row r="21" spans="1:23" ht="27.75" customHeight="1" x14ac:dyDescent="0.25">
      <c r="A21" s="10"/>
      <c r="B21" s="11" t="s">
        <v>34</v>
      </c>
      <c r="C21" s="12"/>
      <c r="D21" s="38">
        <f>SUM(D22:D23)</f>
        <v>0</v>
      </c>
      <c r="E21" s="49">
        <f>SUM(E22:E23)</f>
        <v>3.1061814605999998</v>
      </c>
      <c r="F21" s="38"/>
      <c r="G21" s="38">
        <f t="shared" ref="G21:R21" si="3">SUM(G22:G23)</f>
        <v>1.2267710817999999</v>
      </c>
      <c r="H21" s="38">
        <f t="shared" si="3"/>
        <v>0</v>
      </c>
      <c r="I21" s="38">
        <f t="shared" si="3"/>
        <v>0.62855668880000004</v>
      </c>
      <c r="J21" s="38">
        <f t="shared" si="3"/>
        <v>0</v>
      </c>
      <c r="K21" s="38">
        <f t="shared" si="3"/>
        <v>1.1963253E-2</v>
      </c>
      <c r="L21" s="38">
        <f t="shared" si="3"/>
        <v>0</v>
      </c>
      <c r="M21" s="38">
        <f t="shared" si="3"/>
        <v>1.2388904369999998</v>
      </c>
      <c r="N21" s="38">
        <f t="shared" si="3"/>
        <v>3.1061814605999998</v>
      </c>
      <c r="O21" s="38">
        <f t="shared" si="3"/>
        <v>1.2388904369999998</v>
      </c>
      <c r="P21" s="38">
        <f t="shared" si="3"/>
        <v>2.5226507044000002</v>
      </c>
      <c r="Q21" s="38">
        <f t="shared" si="3"/>
        <v>0.98602400079999974</v>
      </c>
      <c r="R21" s="38">
        <f t="shared" si="3"/>
        <v>0</v>
      </c>
      <c r="S21" s="5"/>
      <c r="T21" s="6"/>
      <c r="U21" s="6"/>
      <c r="V21" s="6"/>
      <c r="W21" s="7"/>
    </row>
    <row r="22" spans="1:23" ht="62.25" customHeight="1" x14ac:dyDescent="0.25">
      <c r="A22" s="13" t="s">
        <v>35</v>
      </c>
      <c r="B22" s="14" t="s">
        <v>37</v>
      </c>
      <c r="C22" s="12"/>
      <c r="D22" s="5"/>
      <c r="E22" s="15">
        <f>G22+I22+K22+M22</f>
        <v>3.1061814605999998</v>
      </c>
      <c r="F22" s="5"/>
      <c r="G22" s="5">
        <f>(68.616+7.60426+244.90817+676.67262+41.83546)/1000*1.18</f>
        <v>1.2267710817999999</v>
      </c>
      <c r="H22" s="5"/>
      <c r="I22" s="5">
        <f>(46.34977+486.32539)/1000*1.18</f>
        <v>0.62855668880000004</v>
      </c>
      <c r="J22" s="5"/>
      <c r="K22" s="5">
        <f>10.13835/1000*1.18</f>
        <v>1.1963253E-2</v>
      </c>
      <c r="L22" s="5"/>
      <c r="M22" s="5">
        <f>(38.40103+15.06423+85.33087+27.22846+23.92938+18.26835+18.53412+29.39475+17.71896+22.64116+15.33164+17.71431+49.27725+15.91989+29.50491+17.9718+32.89689+330.58287+29.57687+19.76434+39.0145+20.31019+40.24661+36.7595+39.67702+18.84725)/1000*1.18</f>
        <v>1.2388904369999998</v>
      </c>
      <c r="N22" s="5">
        <f>E22</f>
        <v>3.1061814605999998</v>
      </c>
      <c r="O22" s="5">
        <f>M22</f>
        <v>1.2388904369999998</v>
      </c>
      <c r="P22" s="5">
        <f>(2.13783958)*1.18</f>
        <v>2.5226507044000002</v>
      </c>
      <c r="Q22" s="5">
        <f>(38.40103+15.06423+85.33087+27.22846+23.92938+18.26835+18.53412+29.39475+17.71896+22.64116+15.33164+17.71431+49.27725+15.91989+29.50491+17.9718+32.89689+340.72122+19.76434)/1000*1.18</f>
        <v>0.98602400079999974</v>
      </c>
      <c r="R22" s="5"/>
      <c r="S22" s="5"/>
      <c r="T22" s="6"/>
      <c r="U22" s="6"/>
      <c r="V22" s="6"/>
      <c r="W22" s="7"/>
    </row>
    <row r="23" spans="1:23" ht="75.75" hidden="1" customHeight="1" x14ac:dyDescent="0.25">
      <c r="A23" s="13"/>
      <c r="B23" s="14"/>
      <c r="C23" s="12"/>
      <c r="D23" s="5"/>
      <c r="E23" s="15">
        <f>G23</f>
        <v>0</v>
      </c>
      <c r="F23" s="5"/>
      <c r="G23" s="5"/>
      <c r="H23" s="5"/>
      <c r="I23" s="5"/>
      <c r="J23" s="5"/>
      <c r="K23" s="5"/>
      <c r="L23" s="5"/>
      <c r="M23" s="5"/>
      <c r="N23" s="5">
        <f>E23</f>
        <v>0</v>
      </c>
      <c r="O23" s="5">
        <f>E23</f>
        <v>0</v>
      </c>
      <c r="P23" s="50">
        <f t="shared" ref="P23:P29" si="4">Q23</f>
        <v>0</v>
      </c>
      <c r="Q23" s="50"/>
      <c r="R23" s="5"/>
      <c r="S23" s="5"/>
      <c r="T23" s="6"/>
      <c r="U23" s="6"/>
      <c r="V23" s="6"/>
      <c r="W23" s="7"/>
    </row>
    <row r="24" spans="1:23" ht="27.75" customHeight="1" x14ac:dyDescent="0.25">
      <c r="A24" s="10"/>
      <c r="B24" s="11" t="s">
        <v>38</v>
      </c>
      <c r="C24" s="12"/>
      <c r="D24" s="38">
        <f>SUM(D25:D26)</f>
        <v>0</v>
      </c>
      <c r="E24" s="49">
        <f>SUM(E25:E26)</f>
        <v>0</v>
      </c>
      <c r="F24" s="38">
        <f>SUM(F25:F26)</f>
        <v>0</v>
      </c>
      <c r="G24" s="38">
        <f>SUM(G25:G26)</f>
        <v>0</v>
      </c>
      <c r="H24" s="38">
        <f t="shared" ref="H24:M24" si="5">SUM(H25:H26)</f>
        <v>0</v>
      </c>
      <c r="I24" s="38">
        <f t="shared" si="5"/>
        <v>0</v>
      </c>
      <c r="J24" s="38">
        <f t="shared" si="5"/>
        <v>0</v>
      </c>
      <c r="K24" s="38">
        <f t="shared" si="5"/>
        <v>0</v>
      </c>
      <c r="L24" s="38">
        <f t="shared" si="5"/>
        <v>0</v>
      </c>
      <c r="M24" s="38">
        <f t="shared" si="5"/>
        <v>0</v>
      </c>
      <c r="N24" s="38">
        <f>SUM(N25:N26)</f>
        <v>0</v>
      </c>
      <c r="O24" s="38">
        <f>SUM(O25:O26)</f>
        <v>0</v>
      </c>
      <c r="P24" s="38">
        <f>SUM(P25:P26)</f>
        <v>0</v>
      </c>
      <c r="Q24" s="38">
        <f>SUM(Q25:Q26)</f>
        <v>0</v>
      </c>
      <c r="R24" s="38"/>
      <c r="S24" s="5"/>
      <c r="T24" s="6"/>
      <c r="U24" s="6"/>
      <c r="V24" s="6"/>
      <c r="W24" s="7"/>
    </row>
    <row r="25" spans="1:23" ht="38.25" hidden="1" customHeight="1" x14ac:dyDescent="0.25">
      <c r="A25" s="13"/>
      <c r="B25" s="16"/>
      <c r="C25" s="12"/>
      <c r="D25" s="5"/>
      <c r="E25" s="15">
        <f>G25</f>
        <v>0</v>
      </c>
      <c r="F25" s="5"/>
      <c r="G25" s="5"/>
      <c r="H25" s="5"/>
      <c r="I25" s="5"/>
      <c r="J25" s="5"/>
      <c r="K25" s="5"/>
      <c r="L25" s="5"/>
      <c r="M25" s="5"/>
      <c r="N25" s="50">
        <f>E25</f>
        <v>0</v>
      </c>
      <c r="O25" s="50">
        <f>E25</f>
        <v>0</v>
      </c>
      <c r="P25" s="50">
        <f t="shared" si="4"/>
        <v>0</v>
      </c>
      <c r="Q25" s="50"/>
      <c r="R25" s="5"/>
      <c r="S25" s="5"/>
      <c r="T25" s="6"/>
      <c r="U25" s="6"/>
      <c r="V25" s="6"/>
      <c r="W25" s="7"/>
    </row>
    <row r="26" spans="1:23" ht="27.75" hidden="1" customHeight="1" x14ac:dyDescent="0.25">
      <c r="A26" s="13"/>
      <c r="B26" s="16"/>
      <c r="C26" s="12"/>
      <c r="D26" s="5"/>
      <c r="E26" s="15">
        <f>G26</f>
        <v>0</v>
      </c>
      <c r="F26" s="5"/>
      <c r="G26" s="5"/>
      <c r="H26" s="5"/>
      <c r="I26" s="5"/>
      <c r="J26" s="5"/>
      <c r="K26" s="5"/>
      <c r="L26" s="5"/>
      <c r="M26" s="5"/>
      <c r="N26" s="50">
        <f>E26</f>
        <v>0</v>
      </c>
      <c r="O26" s="50">
        <f>E26</f>
        <v>0</v>
      </c>
      <c r="P26" s="50">
        <f t="shared" si="4"/>
        <v>0</v>
      </c>
      <c r="Q26" s="50"/>
      <c r="R26" s="5"/>
      <c r="S26" s="5"/>
      <c r="T26" s="6"/>
      <c r="U26" s="6"/>
      <c r="V26" s="6"/>
      <c r="W26" s="7"/>
    </row>
    <row r="27" spans="1:23" ht="27.75" customHeight="1" x14ac:dyDescent="0.25">
      <c r="A27" s="13"/>
      <c r="B27" s="17" t="s">
        <v>39</v>
      </c>
      <c r="C27" s="4"/>
      <c r="D27" s="38">
        <f t="shared" ref="D27:R27" si="6">SUM(D28:D28)</f>
        <v>0</v>
      </c>
      <c r="E27" s="49">
        <f t="shared" si="6"/>
        <v>3.3732135961999994</v>
      </c>
      <c r="F27" s="38">
        <f t="shared" si="6"/>
        <v>0</v>
      </c>
      <c r="G27" s="38">
        <f t="shared" si="6"/>
        <v>0.31900077519999998</v>
      </c>
      <c r="H27" s="38">
        <f t="shared" si="6"/>
        <v>0</v>
      </c>
      <c r="I27" s="38">
        <f t="shared" si="6"/>
        <v>0</v>
      </c>
      <c r="J27" s="38">
        <f t="shared" si="6"/>
        <v>0</v>
      </c>
      <c r="K27" s="38">
        <f t="shared" si="6"/>
        <v>0.49908474059999997</v>
      </c>
      <c r="L27" s="38">
        <f t="shared" si="6"/>
        <v>0</v>
      </c>
      <c r="M27" s="38">
        <f t="shared" si="6"/>
        <v>2.5551280803999994</v>
      </c>
      <c r="N27" s="38">
        <f t="shared" si="6"/>
        <v>3.3732135961999994</v>
      </c>
      <c r="O27" s="38">
        <f t="shared" si="6"/>
        <v>2.5551280803999994</v>
      </c>
      <c r="P27" s="38">
        <f t="shared" si="6"/>
        <v>6.7744840759999994</v>
      </c>
      <c r="Q27" s="38">
        <f t="shared" si="6"/>
        <v>2.3739890770000001</v>
      </c>
      <c r="R27" s="38">
        <f t="shared" si="6"/>
        <v>0</v>
      </c>
      <c r="S27" s="5"/>
      <c r="T27" s="6"/>
      <c r="U27" s="6"/>
      <c r="V27" s="6"/>
      <c r="W27" s="7"/>
    </row>
    <row r="28" spans="1:23" ht="27.75" customHeight="1" x14ac:dyDescent="0.25">
      <c r="A28" s="13" t="s">
        <v>36</v>
      </c>
      <c r="B28" s="14" t="s">
        <v>156</v>
      </c>
      <c r="C28" s="12"/>
      <c r="D28" s="5"/>
      <c r="E28" s="15">
        <f>G28+I28+K28+M28</f>
        <v>3.3732135961999994</v>
      </c>
      <c r="F28" s="5"/>
      <c r="G28" s="5">
        <f>270.33964/1000*1.18</f>
        <v>0.31900077519999998</v>
      </c>
      <c r="H28" s="5"/>
      <c r="I28" s="5"/>
      <c r="J28" s="5"/>
      <c r="K28" s="5">
        <f>(422.95317)/1000*1.18</f>
        <v>0.49908474059999997</v>
      </c>
      <c r="L28" s="5"/>
      <c r="M28" s="5">
        <f>(1394.04691+771.31587)/1000*1.18</f>
        <v>2.5551280803999994</v>
      </c>
      <c r="N28" s="5">
        <f>E28</f>
        <v>3.3732135961999994</v>
      </c>
      <c r="O28" s="5">
        <f>M28</f>
        <v>2.5551280803999994</v>
      </c>
      <c r="P28" s="5">
        <f>3729.23305/1000*1.18+Q28</f>
        <v>6.7744840759999994</v>
      </c>
      <c r="Q28" s="5">
        <f>(39.0145+20.31019+40.24661+1817.00008+36.7595+39.67702+18.84725)/1000*1.18</f>
        <v>2.3739890770000001</v>
      </c>
      <c r="R28" s="5"/>
      <c r="S28" s="5"/>
      <c r="T28" s="6"/>
      <c r="U28" s="6"/>
      <c r="V28" s="6"/>
      <c r="W28" s="7"/>
    </row>
    <row r="29" spans="1:23" ht="27.75" customHeight="1" x14ac:dyDescent="0.25">
      <c r="A29" s="8" t="s">
        <v>40</v>
      </c>
      <c r="B29" s="9" t="s">
        <v>41</v>
      </c>
      <c r="C29" s="12"/>
      <c r="D29" s="38">
        <v>0</v>
      </c>
      <c r="E29" s="49">
        <v>0</v>
      </c>
      <c r="F29" s="38">
        <v>0</v>
      </c>
      <c r="G29" s="38">
        <v>0</v>
      </c>
      <c r="H29" s="38"/>
      <c r="I29" s="38"/>
      <c r="J29" s="38"/>
      <c r="K29" s="38"/>
      <c r="L29" s="38"/>
      <c r="M29" s="38"/>
      <c r="N29" s="38">
        <f>E29</f>
        <v>0</v>
      </c>
      <c r="O29" s="38">
        <f>E29</f>
        <v>0</v>
      </c>
      <c r="P29" s="38">
        <f t="shared" si="4"/>
        <v>0</v>
      </c>
      <c r="Q29" s="38">
        <f>G29</f>
        <v>0</v>
      </c>
      <c r="R29" s="5"/>
      <c r="S29" s="5"/>
      <c r="T29" s="6"/>
      <c r="U29" s="6"/>
      <c r="V29" s="6"/>
      <c r="W29" s="7"/>
    </row>
    <row r="30" spans="1:23" ht="27.75" customHeight="1" x14ac:dyDescent="0.25">
      <c r="A30" s="8" t="s">
        <v>42</v>
      </c>
      <c r="B30" s="17" t="s">
        <v>43</v>
      </c>
      <c r="C30" s="4"/>
      <c r="D30" s="38">
        <f>SUM(D31:D32)</f>
        <v>8.0735599999999987</v>
      </c>
      <c r="E30" s="38">
        <f t="shared" ref="E30:R30" si="7">SUM(E31:E32)</f>
        <v>48.432080161400009</v>
      </c>
      <c r="F30" s="38">
        <f t="shared" si="7"/>
        <v>1.6519999999999999</v>
      </c>
      <c r="G30" s="38">
        <f t="shared" si="7"/>
        <v>2.6080692995999999</v>
      </c>
      <c r="H30" s="38">
        <f t="shared" si="7"/>
        <v>2.1240000000000001</v>
      </c>
      <c r="I30" s="38">
        <f t="shared" si="7"/>
        <v>1.0900823125999999</v>
      </c>
      <c r="J30" s="38">
        <f t="shared" si="7"/>
        <v>0</v>
      </c>
      <c r="K30" s="38">
        <f t="shared" si="7"/>
        <v>4.2717934137999993</v>
      </c>
      <c r="L30" s="38">
        <f t="shared" si="7"/>
        <v>0</v>
      </c>
      <c r="M30" s="38">
        <f t="shared" si="7"/>
        <v>40.462135135400004</v>
      </c>
      <c r="N30" s="38">
        <f t="shared" si="7"/>
        <v>9.3513687839999999</v>
      </c>
      <c r="O30" s="38">
        <f t="shared" si="7"/>
        <v>2.9697807647999999</v>
      </c>
      <c r="P30" s="38">
        <f t="shared" si="7"/>
        <v>9.3513687839999999</v>
      </c>
      <c r="Q30" s="38">
        <f t="shared" si="7"/>
        <v>2.9697807647999999</v>
      </c>
      <c r="R30" s="38">
        <f t="shared" si="7"/>
        <v>0</v>
      </c>
      <c r="S30" s="5"/>
      <c r="T30" s="6"/>
      <c r="U30" s="6"/>
      <c r="V30" s="6"/>
      <c r="W30" s="7"/>
    </row>
    <row r="31" spans="1:23" ht="27.75" customHeight="1" x14ac:dyDescent="0.25">
      <c r="A31" s="13" t="s">
        <v>44</v>
      </c>
      <c r="B31" s="14" t="s">
        <v>45</v>
      </c>
      <c r="C31" s="12"/>
      <c r="D31" s="5">
        <f>6.842*1.18</f>
        <v>8.0735599999999987</v>
      </c>
      <c r="E31" s="15">
        <f>G31+I31+K31+M31</f>
        <v>9.3513687839999999</v>
      </c>
      <c r="F31" s="5">
        <f>1.4*1.18</f>
        <v>1.6519999999999999</v>
      </c>
      <c r="G31" s="5">
        <f>(48.95972+2161.2685)/1000*1.18</f>
        <v>2.6080692995999999</v>
      </c>
      <c r="H31" s="5">
        <f>1.8*1.18</f>
        <v>2.1240000000000001</v>
      </c>
      <c r="I31" s="5">
        <f>(19.90031+903.89826)/1000*1.18</f>
        <v>1.0900823125999999</v>
      </c>
      <c r="J31" s="5"/>
      <c r="K31" s="5">
        <f>(2274.09865)/1000*1.18</f>
        <v>2.6834364069999999</v>
      </c>
      <c r="L31" s="5"/>
      <c r="M31" s="5">
        <f>(11.42983+2505.33353)/1000*1.18</f>
        <v>2.9697807647999999</v>
      </c>
      <c r="N31" s="5">
        <f>E31</f>
        <v>9.3513687839999999</v>
      </c>
      <c r="O31" s="5">
        <f>M31</f>
        <v>2.9697807647999999</v>
      </c>
      <c r="P31" s="5">
        <f>(80.28986+7844.59894)/1000*1.18</f>
        <v>9.3513687839999999</v>
      </c>
      <c r="Q31" s="5">
        <f>(11.42983+2505.33353)/1000*1.18</f>
        <v>2.9697807647999999</v>
      </c>
      <c r="R31" s="5"/>
      <c r="S31" s="5"/>
      <c r="T31" s="6"/>
      <c r="U31" s="6"/>
      <c r="V31" s="6"/>
      <c r="W31" s="7"/>
    </row>
    <row r="32" spans="1:23" ht="27.75" customHeight="1" x14ac:dyDescent="0.25">
      <c r="A32" s="13" t="s">
        <v>157</v>
      </c>
      <c r="B32" s="14" t="s">
        <v>158</v>
      </c>
      <c r="C32" s="12"/>
      <c r="D32" s="5"/>
      <c r="E32" s="15">
        <f>G32+I32+K32+M32</f>
        <v>39.080711377400007</v>
      </c>
      <c r="F32" s="5"/>
      <c r="G32" s="5"/>
      <c r="H32" s="5"/>
      <c r="I32" s="5"/>
      <c r="J32" s="5"/>
      <c r="K32" s="5">
        <f>(1346.06526)/1000*1.18</f>
        <v>1.5883570067999999</v>
      </c>
      <c r="L32" s="5"/>
      <c r="M32" s="5">
        <f>(31773.18167)/1000*1.18</f>
        <v>37.492354370600005</v>
      </c>
      <c r="N32" s="5"/>
      <c r="O32" s="5"/>
      <c r="P32" s="5"/>
      <c r="Q32" s="5"/>
      <c r="R32" s="5"/>
      <c r="S32" s="5"/>
      <c r="T32" s="6"/>
      <c r="U32" s="6"/>
      <c r="V32" s="6"/>
      <c r="W32" s="7"/>
    </row>
    <row r="33" spans="1:23" ht="42.75" customHeight="1" x14ac:dyDescent="0.25">
      <c r="A33" s="8" t="s">
        <v>46</v>
      </c>
      <c r="B33" s="9" t="s">
        <v>47</v>
      </c>
      <c r="C33" s="12"/>
      <c r="D33" s="5"/>
      <c r="E33" s="15"/>
      <c r="F33" s="5"/>
      <c r="G33" s="5"/>
      <c r="H33" s="5"/>
      <c r="I33" s="5"/>
      <c r="J33" s="5"/>
      <c r="K33" s="5"/>
      <c r="L33" s="5"/>
      <c r="M33" s="5"/>
      <c r="N33" s="50"/>
      <c r="O33" s="50"/>
      <c r="P33" s="50"/>
      <c r="Q33" s="50"/>
      <c r="R33" s="5"/>
      <c r="S33" s="5"/>
      <c r="T33" s="6"/>
      <c r="U33" s="6"/>
      <c r="V33" s="6"/>
      <c r="W33" s="7"/>
    </row>
    <row r="34" spans="1:23" ht="27.75" customHeight="1" x14ac:dyDescent="0.25">
      <c r="A34" s="8" t="s">
        <v>48</v>
      </c>
      <c r="B34" s="9" t="s">
        <v>49</v>
      </c>
      <c r="C34" s="4"/>
      <c r="D34" s="38">
        <f t="shared" ref="D34:R34" si="8">D35+D54+D58+D69+D73+D74</f>
        <v>185.02517999999998</v>
      </c>
      <c r="E34" s="49">
        <f>E35+E58+E69+E73+E74</f>
        <v>190.57285727560003</v>
      </c>
      <c r="F34" s="38">
        <f t="shared" si="8"/>
        <v>9.0986799999999999</v>
      </c>
      <c r="G34" s="38">
        <f t="shared" si="8"/>
        <v>21.784734834200002</v>
      </c>
      <c r="H34" s="38">
        <f t="shared" si="8"/>
        <v>25.546999999999997</v>
      </c>
      <c r="I34" s="38">
        <f t="shared" si="8"/>
        <v>38.886556537399997</v>
      </c>
      <c r="J34" s="38">
        <f t="shared" si="8"/>
        <v>0</v>
      </c>
      <c r="K34" s="38">
        <f t="shared" si="8"/>
        <v>35.839642901399998</v>
      </c>
      <c r="L34" s="38">
        <f t="shared" si="8"/>
        <v>0</v>
      </c>
      <c r="M34" s="38">
        <f>M35+M54+M58+M69+M73+M74</f>
        <v>94.061923002599997</v>
      </c>
      <c r="N34" s="38">
        <f t="shared" si="8"/>
        <v>190.50504267560001</v>
      </c>
      <c r="O34" s="38">
        <f t="shared" si="8"/>
        <v>94.245877828200008</v>
      </c>
      <c r="P34" s="38">
        <f t="shared" si="8"/>
        <v>85.108437073399983</v>
      </c>
      <c r="Q34" s="38">
        <f t="shared" si="8"/>
        <v>15.462211077799999</v>
      </c>
      <c r="R34" s="38">
        <f t="shared" si="8"/>
        <v>57.269751851799967</v>
      </c>
      <c r="S34" s="5"/>
      <c r="T34" s="6"/>
      <c r="U34" s="6"/>
      <c r="V34" s="6"/>
      <c r="W34" s="7"/>
    </row>
    <row r="35" spans="1:23" ht="27.75" customHeight="1" x14ac:dyDescent="0.25">
      <c r="A35" s="8" t="s">
        <v>50</v>
      </c>
      <c r="B35" s="17" t="s">
        <v>33</v>
      </c>
      <c r="C35" s="4"/>
      <c r="D35" s="38">
        <f t="shared" ref="D35:R35" si="9">D36+D51+D46+D49</f>
        <v>167.26853999999997</v>
      </c>
      <c r="E35" s="49">
        <f>E36+E51+E46+E49+E54</f>
        <v>114.16942940140002</v>
      </c>
      <c r="F35" s="38">
        <f t="shared" si="9"/>
        <v>4</v>
      </c>
      <c r="G35" s="38">
        <f t="shared" si="9"/>
        <v>6.1539094617999996</v>
      </c>
      <c r="H35" s="38">
        <f t="shared" si="9"/>
        <v>20.000999999999998</v>
      </c>
      <c r="I35" s="38">
        <f t="shared" si="9"/>
        <v>18.4167208844</v>
      </c>
      <c r="J35" s="38">
        <f t="shared" si="9"/>
        <v>0</v>
      </c>
      <c r="K35" s="38">
        <f t="shared" si="9"/>
        <v>23.664466940000001</v>
      </c>
      <c r="L35" s="38">
        <f t="shared" si="9"/>
        <v>0</v>
      </c>
      <c r="M35" s="38">
        <f t="shared" si="9"/>
        <v>65.550066861600001</v>
      </c>
      <c r="N35" s="38">
        <f t="shared" si="9"/>
        <v>113.78516414780002</v>
      </c>
      <c r="O35" s="38">
        <f t="shared" si="9"/>
        <v>65.801836287200004</v>
      </c>
      <c r="P35" s="38">
        <f t="shared" si="9"/>
        <v>23.620181728799995</v>
      </c>
      <c r="Q35" s="38">
        <f t="shared" si="9"/>
        <v>1.0492872581999999</v>
      </c>
      <c r="R35" s="38">
        <f t="shared" si="9"/>
        <v>57.237520895199964</v>
      </c>
      <c r="S35" s="5"/>
      <c r="T35" s="6"/>
      <c r="U35" s="6"/>
      <c r="V35" s="6"/>
      <c r="W35" s="7"/>
    </row>
    <row r="36" spans="1:23" ht="27.75" customHeight="1" x14ac:dyDescent="0.25">
      <c r="A36" s="10"/>
      <c r="B36" s="17" t="s">
        <v>51</v>
      </c>
      <c r="C36" s="12"/>
      <c r="D36" s="38">
        <f t="shared" ref="D36:R36" si="10">SUM(D37:D45)</f>
        <v>167.26853999999997</v>
      </c>
      <c r="E36" s="49">
        <f>SUM(E37:E45)</f>
        <v>112.45960044520001</v>
      </c>
      <c r="F36" s="38">
        <f t="shared" si="10"/>
        <v>4</v>
      </c>
      <c r="G36" s="38">
        <f t="shared" si="10"/>
        <v>5.9021400361999996</v>
      </c>
      <c r="H36" s="38">
        <f t="shared" si="10"/>
        <v>20.000999999999998</v>
      </c>
      <c r="I36" s="38">
        <f t="shared" si="10"/>
        <v>18.4167208844</v>
      </c>
      <c r="J36" s="38">
        <f t="shared" si="10"/>
        <v>0</v>
      </c>
      <c r="K36" s="38">
        <f t="shared" si="10"/>
        <v>23.664466940000001</v>
      </c>
      <c r="L36" s="38">
        <f t="shared" si="10"/>
        <v>0</v>
      </c>
      <c r="M36" s="38">
        <f t="shared" si="10"/>
        <v>64.476272584599997</v>
      </c>
      <c r="N36" s="38">
        <f t="shared" si="10"/>
        <v>112.45960044520001</v>
      </c>
      <c r="O36" s="38">
        <f t="shared" si="10"/>
        <v>64.476272584599997</v>
      </c>
      <c r="P36" s="38">
        <f t="shared" si="10"/>
        <v>23.620181728799995</v>
      </c>
      <c r="Q36" s="38">
        <f t="shared" si="10"/>
        <v>1.0492872581999999</v>
      </c>
      <c r="R36" s="38">
        <f t="shared" si="10"/>
        <v>57.237520895199964</v>
      </c>
      <c r="S36" s="5"/>
      <c r="T36" s="6"/>
      <c r="U36" s="6"/>
      <c r="V36" s="6"/>
      <c r="W36" s="7"/>
    </row>
    <row r="37" spans="1:23" ht="27.75" customHeight="1" x14ac:dyDescent="0.25">
      <c r="A37" s="13" t="s">
        <v>52</v>
      </c>
      <c r="B37" s="16" t="s">
        <v>59</v>
      </c>
      <c r="C37" s="12"/>
      <c r="D37" s="5"/>
      <c r="E37" s="15">
        <f t="shared" ref="E37:E44" si="11">G37+I37+K37+M37</f>
        <v>0.95446649380000004</v>
      </c>
      <c r="F37" s="5"/>
      <c r="G37" s="5">
        <f>750.92254/1000*1.18</f>
        <v>0.88608859719999999</v>
      </c>
      <c r="H37" s="5"/>
      <c r="I37" s="5"/>
      <c r="J37" s="5"/>
      <c r="K37" s="5">
        <f>57.94737/1000*1.18</f>
        <v>6.8377896599999988E-2</v>
      </c>
      <c r="L37" s="5"/>
      <c r="M37" s="5"/>
      <c r="N37" s="5">
        <f>E37</f>
        <v>0.95446649380000004</v>
      </c>
      <c r="O37" s="5">
        <f>M37</f>
        <v>0</v>
      </c>
      <c r="P37" s="5">
        <f>10.8930399*1.18</f>
        <v>12.853787081999998</v>
      </c>
      <c r="Q37" s="5"/>
      <c r="R37" s="5"/>
      <c r="S37" s="5"/>
      <c r="T37" s="6"/>
      <c r="U37" s="6"/>
      <c r="V37" s="6"/>
      <c r="W37" s="7"/>
    </row>
    <row r="38" spans="1:23" ht="27.75" customHeight="1" x14ac:dyDescent="0.25">
      <c r="A38" s="13" t="s">
        <v>53</v>
      </c>
      <c r="B38" s="16" t="s">
        <v>159</v>
      </c>
      <c r="C38" s="12"/>
      <c r="D38" s="5">
        <f>141.753*1.18</f>
        <v>167.26853999999997</v>
      </c>
      <c r="E38" s="15">
        <f>G38+I38+K38+M38</f>
        <v>110.03101910480001</v>
      </c>
      <c r="F38" s="5">
        <v>4</v>
      </c>
      <c r="G38" s="5">
        <f>4074.93467/1000*1.18</f>
        <v>4.8084229106</v>
      </c>
      <c r="H38" s="5">
        <f>16.95*1.18</f>
        <v>20.000999999999998</v>
      </c>
      <c r="I38" s="5">
        <f>15.01092784*1.18</f>
        <v>17.712894851200002</v>
      </c>
      <c r="J38" s="5"/>
      <c r="K38" s="5">
        <f>(19.91234163+0.084344)*1.18</f>
        <v>23.596089043399999</v>
      </c>
      <c r="L38" s="5"/>
      <c r="M38" s="5">
        <f>(53.99545122+0.168627)*1.18</f>
        <v>63.913612299599997</v>
      </c>
      <c r="N38" s="5">
        <f t="shared" ref="N38:N45" si="12">E38</f>
        <v>110.03101910480001</v>
      </c>
      <c r="O38" s="5">
        <f>M38</f>
        <v>63.913612299599997</v>
      </c>
      <c r="P38" s="5">
        <f>Q38</f>
        <v>0</v>
      </c>
      <c r="Q38" s="5"/>
      <c r="R38" s="5">
        <f>D38-E38</f>
        <v>57.237520895199964</v>
      </c>
      <c r="S38" s="5"/>
      <c r="T38" s="6"/>
      <c r="U38" s="6"/>
      <c r="V38" s="6"/>
      <c r="W38" s="7"/>
    </row>
    <row r="39" spans="1:23" ht="27.75" customHeight="1" x14ac:dyDescent="0.25">
      <c r="A39" s="13" t="s">
        <v>54</v>
      </c>
      <c r="B39" s="16" t="s">
        <v>160</v>
      </c>
      <c r="C39" s="12"/>
      <c r="D39" s="5"/>
      <c r="E39" s="15">
        <f t="shared" si="11"/>
        <v>9.7969948399999993E-2</v>
      </c>
      <c r="F39" s="5"/>
      <c r="G39" s="5">
        <f>175.95638/1000*1.18</f>
        <v>0.20762852839999998</v>
      </c>
      <c r="H39" s="5"/>
      <c r="I39" s="5">
        <f>-92.931/1000*1.18</f>
        <v>-0.10965857999999999</v>
      </c>
      <c r="J39" s="5"/>
      <c r="K39" s="5"/>
      <c r="L39" s="5"/>
      <c r="M39" s="5"/>
      <c r="N39" s="5">
        <f t="shared" si="12"/>
        <v>9.7969948399999993E-2</v>
      </c>
      <c r="O39" s="5">
        <f>K39</f>
        <v>0</v>
      </c>
      <c r="P39" s="5">
        <f>8.23483677*1.18</f>
        <v>9.7171073885999988</v>
      </c>
      <c r="Q39" s="5"/>
      <c r="R39" s="5"/>
      <c r="S39" s="5"/>
      <c r="T39" s="6"/>
      <c r="U39" s="6"/>
      <c r="V39" s="6"/>
      <c r="W39" s="7"/>
    </row>
    <row r="40" spans="1:23" ht="42.75" customHeight="1" x14ac:dyDescent="0.25">
      <c r="A40" s="13" t="s">
        <v>55</v>
      </c>
      <c r="B40" s="16" t="s">
        <v>161</v>
      </c>
      <c r="C40" s="12"/>
      <c r="D40" s="5"/>
      <c r="E40" s="15">
        <f t="shared" si="11"/>
        <v>4.906793999999999E-2</v>
      </c>
      <c r="F40" s="5"/>
      <c r="G40" s="5"/>
      <c r="H40" s="5"/>
      <c r="I40" s="5">
        <f>41.583/1000*1.18</f>
        <v>4.906793999999999E-2</v>
      </c>
      <c r="J40" s="5"/>
      <c r="K40" s="5"/>
      <c r="L40" s="5"/>
      <c r="M40" s="5"/>
      <c r="N40" s="5">
        <f t="shared" si="12"/>
        <v>4.906793999999999E-2</v>
      </c>
      <c r="O40" s="5">
        <f>K40</f>
        <v>0</v>
      </c>
      <c r="P40" s="5">
        <f t="shared" ref="P40:P50" si="13">Q40</f>
        <v>0</v>
      </c>
      <c r="Q40" s="5"/>
      <c r="R40" s="5"/>
      <c r="S40" s="5"/>
      <c r="T40" s="6"/>
      <c r="U40" s="6"/>
      <c r="V40" s="6"/>
      <c r="W40" s="7"/>
    </row>
    <row r="41" spans="1:23" ht="27.75" customHeight="1" x14ac:dyDescent="0.25">
      <c r="A41" s="13" t="s">
        <v>56</v>
      </c>
      <c r="B41" s="16" t="s">
        <v>162</v>
      </c>
      <c r="C41" s="12"/>
      <c r="D41" s="5"/>
      <c r="E41" s="15">
        <f t="shared" si="11"/>
        <v>0.61869126340000002</v>
      </c>
      <c r="F41" s="5"/>
      <c r="G41" s="5"/>
      <c r="H41" s="5"/>
      <c r="I41" s="5">
        <f>0.38848871*1.18</f>
        <v>0.45841667780000001</v>
      </c>
      <c r="J41" s="5"/>
      <c r="K41" s="5"/>
      <c r="L41" s="5"/>
      <c r="M41" s="5">
        <f>135.82592/1000*1.18</f>
        <v>0.16027458559999999</v>
      </c>
      <c r="N41" s="5">
        <f>E41</f>
        <v>0.61869126340000002</v>
      </c>
      <c r="O41" s="5">
        <f>M41</f>
        <v>0.16027458559999999</v>
      </c>
      <c r="P41" s="5">
        <f t="shared" si="13"/>
        <v>0.61869126340000002</v>
      </c>
      <c r="Q41" s="5">
        <f>0.52431463*1.18</f>
        <v>0.61869126340000002</v>
      </c>
      <c r="R41" s="5"/>
      <c r="S41" s="5"/>
      <c r="T41" s="6"/>
      <c r="U41" s="6"/>
      <c r="V41" s="6"/>
      <c r="W41" s="7"/>
    </row>
    <row r="42" spans="1:23" ht="27.75" customHeight="1" x14ac:dyDescent="0.25">
      <c r="A42" s="13" t="s">
        <v>57</v>
      </c>
      <c r="B42" s="16" t="s">
        <v>163</v>
      </c>
      <c r="C42" s="12"/>
      <c r="D42" s="5"/>
      <c r="E42" s="15">
        <f t="shared" si="11"/>
        <v>6.0823099999999998E-2</v>
      </c>
      <c r="F42" s="5"/>
      <c r="G42" s="5"/>
      <c r="H42" s="5"/>
      <c r="I42" s="5"/>
      <c r="J42" s="5"/>
      <c r="K42" s="5"/>
      <c r="L42" s="5"/>
      <c r="M42" s="5">
        <f>51.545/1000*1.18</f>
        <v>6.0823099999999998E-2</v>
      </c>
      <c r="N42" s="5">
        <f>E42</f>
        <v>6.0823099999999998E-2</v>
      </c>
      <c r="O42" s="5">
        <f>M42</f>
        <v>6.0823099999999998E-2</v>
      </c>
      <c r="P42" s="5">
        <f>Q42</f>
        <v>0</v>
      </c>
      <c r="Q42" s="5"/>
      <c r="R42" s="5"/>
      <c r="S42" s="5"/>
      <c r="T42" s="6"/>
      <c r="U42" s="6"/>
      <c r="V42" s="6"/>
      <c r="W42" s="7"/>
    </row>
    <row r="43" spans="1:23" ht="27.75" customHeight="1" x14ac:dyDescent="0.25">
      <c r="A43" s="13" t="s">
        <v>58</v>
      </c>
      <c r="B43" s="16" t="s">
        <v>164</v>
      </c>
      <c r="C43" s="12"/>
      <c r="D43" s="5"/>
      <c r="E43" s="15">
        <f t="shared" si="11"/>
        <v>0.1066366</v>
      </c>
      <c r="F43" s="5"/>
      <c r="G43" s="5"/>
      <c r="H43" s="5"/>
      <c r="I43" s="5"/>
      <c r="J43" s="5"/>
      <c r="K43" s="5"/>
      <c r="L43" s="5"/>
      <c r="M43" s="5">
        <f>90.37/1000*1.18</f>
        <v>0.1066366</v>
      </c>
      <c r="N43" s="5">
        <f>E43</f>
        <v>0.1066366</v>
      </c>
      <c r="O43" s="5">
        <f>M43</f>
        <v>0.1066366</v>
      </c>
      <c r="P43" s="5">
        <f>Q43</f>
        <v>0</v>
      </c>
      <c r="Q43" s="5"/>
      <c r="R43" s="5"/>
      <c r="S43" s="5"/>
      <c r="T43" s="6"/>
      <c r="U43" s="6"/>
      <c r="V43" s="6"/>
      <c r="W43" s="7"/>
    </row>
    <row r="44" spans="1:23" ht="27.75" customHeight="1" x14ac:dyDescent="0.25">
      <c r="A44" s="13" t="s">
        <v>60</v>
      </c>
      <c r="B44" s="16" t="s">
        <v>165</v>
      </c>
      <c r="C44" s="12"/>
      <c r="D44" s="5"/>
      <c r="E44" s="15">
        <f t="shared" si="11"/>
        <v>0.11033</v>
      </c>
      <c r="F44" s="5"/>
      <c r="G44" s="5"/>
      <c r="H44" s="5"/>
      <c r="I44" s="5"/>
      <c r="J44" s="5"/>
      <c r="K44" s="5"/>
      <c r="L44" s="5"/>
      <c r="M44" s="5">
        <f>93.5/1000*1.18</f>
        <v>0.11033</v>
      </c>
      <c r="N44" s="5">
        <f>E44</f>
        <v>0.11033</v>
      </c>
      <c r="O44" s="5">
        <f>M44</f>
        <v>0.11033</v>
      </c>
      <c r="P44" s="5">
        <f>Q44</f>
        <v>0</v>
      </c>
      <c r="Q44" s="5"/>
      <c r="R44" s="5"/>
      <c r="S44" s="5"/>
      <c r="T44" s="6"/>
      <c r="U44" s="6"/>
      <c r="V44" s="6"/>
      <c r="W44" s="7"/>
    </row>
    <row r="45" spans="1:23" ht="27.75" customHeight="1" x14ac:dyDescent="0.25">
      <c r="A45" s="13" t="s">
        <v>61</v>
      </c>
      <c r="B45" s="16" t="s">
        <v>166</v>
      </c>
      <c r="C45" s="12"/>
      <c r="D45" s="5"/>
      <c r="E45" s="15">
        <f>G45+I45+K45+M45</f>
        <v>0.43059599479999994</v>
      </c>
      <c r="F45" s="5"/>
      <c r="G45" s="5"/>
      <c r="H45" s="5"/>
      <c r="I45" s="5">
        <f>0.25932203*1.18</f>
        <v>0.30599999539999995</v>
      </c>
      <c r="J45" s="5"/>
      <c r="K45" s="5"/>
      <c r="L45" s="5"/>
      <c r="M45" s="5">
        <f>105.58983/1000*1.18</f>
        <v>0.1245959994</v>
      </c>
      <c r="N45" s="5">
        <f t="shared" si="12"/>
        <v>0.43059599479999994</v>
      </c>
      <c r="O45" s="5">
        <f>M45</f>
        <v>0.1245959994</v>
      </c>
      <c r="P45" s="5">
        <f>Q45</f>
        <v>0.43059599479999994</v>
      </c>
      <c r="Q45" s="5">
        <f>0.36491186*1.18</f>
        <v>0.43059599479999994</v>
      </c>
      <c r="R45" s="5"/>
      <c r="S45" s="5"/>
      <c r="T45" s="6"/>
      <c r="U45" s="6"/>
      <c r="V45" s="6"/>
      <c r="W45" s="7"/>
    </row>
    <row r="46" spans="1:23" ht="27.75" customHeight="1" x14ac:dyDescent="0.25">
      <c r="A46" s="10"/>
      <c r="B46" s="17" t="s">
        <v>34</v>
      </c>
      <c r="C46" s="12"/>
      <c r="D46" s="38">
        <f t="shared" ref="D46:R46" si="14">SUM(D47:D48)</f>
        <v>0</v>
      </c>
      <c r="E46" s="49">
        <f t="shared" si="14"/>
        <v>0.25176942559999999</v>
      </c>
      <c r="F46" s="38">
        <f t="shared" si="14"/>
        <v>0</v>
      </c>
      <c r="G46" s="38">
        <f t="shared" si="14"/>
        <v>0.25176942559999999</v>
      </c>
      <c r="H46" s="38">
        <f t="shared" si="14"/>
        <v>0</v>
      </c>
      <c r="I46" s="38">
        <f t="shared" si="14"/>
        <v>0</v>
      </c>
      <c r="J46" s="38">
        <f t="shared" si="14"/>
        <v>0</v>
      </c>
      <c r="K46" s="38">
        <f t="shared" si="14"/>
        <v>0</v>
      </c>
      <c r="L46" s="38">
        <f t="shared" si="14"/>
        <v>0</v>
      </c>
      <c r="M46" s="38">
        <f t="shared" si="14"/>
        <v>0</v>
      </c>
      <c r="N46" s="38">
        <f t="shared" si="14"/>
        <v>0.25176942559999999</v>
      </c>
      <c r="O46" s="38">
        <f t="shared" si="14"/>
        <v>0.25176942559999999</v>
      </c>
      <c r="P46" s="38">
        <f t="shared" si="14"/>
        <v>0</v>
      </c>
      <c r="Q46" s="38">
        <f t="shared" si="14"/>
        <v>0</v>
      </c>
      <c r="R46" s="38">
        <f t="shared" si="14"/>
        <v>0</v>
      </c>
      <c r="S46" s="5"/>
      <c r="T46" s="6"/>
      <c r="U46" s="6"/>
      <c r="V46" s="6"/>
      <c r="W46" s="7"/>
    </row>
    <row r="47" spans="1:23" ht="27.75" customHeight="1" x14ac:dyDescent="0.25">
      <c r="A47" s="13" t="s">
        <v>62</v>
      </c>
      <c r="B47" s="14" t="s">
        <v>167</v>
      </c>
      <c r="C47" s="12"/>
      <c r="D47" s="5"/>
      <c r="E47" s="15">
        <f>G47+I47+K47+M47</f>
        <v>0.25176942559999999</v>
      </c>
      <c r="F47" s="5"/>
      <c r="G47" s="5">
        <f>213.36392/1000*1.18</f>
        <v>0.25176942559999999</v>
      </c>
      <c r="H47" s="5"/>
      <c r="I47" s="5"/>
      <c r="J47" s="5"/>
      <c r="K47" s="5"/>
      <c r="L47" s="5"/>
      <c r="M47" s="5"/>
      <c r="N47" s="5">
        <f>E47</f>
        <v>0.25176942559999999</v>
      </c>
      <c r="O47" s="5">
        <f>E47</f>
        <v>0.25176942559999999</v>
      </c>
      <c r="P47" s="5">
        <f t="shared" si="13"/>
        <v>0</v>
      </c>
      <c r="Q47" s="5"/>
      <c r="R47" s="5"/>
      <c r="S47" s="5"/>
      <c r="T47" s="6"/>
      <c r="U47" s="6"/>
      <c r="V47" s="6"/>
      <c r="W47" s="7"/>
    </row>
    <row r="48" spans="1:23" ht="27.75" hidden="1" customHeight="1" x14ac:dyDescent="0.25">
      <c r="A48" s="13"/>
      <c r="B48" s="14"/>
      <c r="C48" s="12"/>
      <c r="D48" s="5"/>
      <c r="E48" s="15">
        <f>G48+I48+K48+M48</f>
        <v>0</v>
      </c>
      <c r="F48" s="5"/>
      <c r="G48" s="5"/>
      <c r="H48" s="5"/>
      <c r="I48" s="5"/>
      <c r="J48" s="5"/>
      <c r="K48" s="5"/>
      <c r="L48" s="5"/>
      <c r="M48" s="5"/>
      <c r="N48" s="5">
        <f>E48</f>
        <v>0</v>
      </c>
      <c r="O48" s="5">
        <f>E48</f>
        <v>0</v>
      </c>
      <c r="P48" s="5">
        <f t="shared" si="13"/>
        <v>0</v>
      </c>
      <c r="Q48" s="5"/>
      <c r="R48" s="5"/>
      <c r="S48" s="5"/>
      <c r="T48" s="6"/>
      <c r="U48" s="6"/>
      <c r="V48" s="6"/>
      <c r="W48" s="7"/>
    </row>
    <row r="49" spans="1:23" ht="27.75" customHeight="1" x14ac:dyDescent="0.25">
      <c r="A49" s="10"/>
      <c r="B49" s="17" t="s">
        <v>67</v>
      </c>
      <c r="C49" s="12"/>
      <c r="D49" s="38">
        <f>D50</f>
        <v>0</v>
      </c>
      <c r="E49" s="49">
        <f t="shared" ref="E49:R49" si="15">E50</f>
        <v>1.073794277</v>
      </c>
      <c r="F49" s="38">
        <f>F50</f>
        <v>0</v>
      </c>
      <c r="G49" s="38">
        <f t="shared" si="15"/>
        <v>0</v>
      </c>
      <c r="H49" s="38"/>
      <c r="I49" s="38"/>
      <c r="J49" s="38"/>
      <c r="K49" s="38"/>
      <c r="L49" s="38">
        <f t="shared" si="15"/>
        <v>0</v>
      </c>
      <c r="M49" s="38">
        <f t="shared" si="15"/>
        <v>1.073794277</v>
      </c>
      <c r="N49" s="38">
        <f t="shared" si="15"/>
        <v>1.073794277</v>
      </c>
      <c r="O49" s="38">
        <f t="shared" si="15"/>
        <v>1.073794277</v>
      </c>
      <c r="P49" s="38">
        <f t="shared" si="15"/>
        <v>0</v>
      </c>
      <c r="Q49" s="38">
        <f t="shared" si="15"/>
        <v>0</v>
      </c>
      <c r="R49" s="38">
        <f t="shared" si="15"/>
        <v>0</v>
      </c>
      <c r="S49" s="5"/>
      <c r="T49" s="6"/>
      <c r="U49" s="6"/>
      <c r="V49" s="6"/>
      <c r="W49" s="7"/>
    </row>
    <row r="50" spans="1:23" ht="27.75" customHeight="1" x14ac:dyDescent="0.25">
      <c r="A50" s="13" t="s">
        <v>63</v>
      </c>
      <c r="B50" s="14" t="s">
        <v>168</v>
      </c>
      <c r="C50" s="12"/>
      <c r="D50" s="5"/>
      <c r="E50" s="15">
        <f>G50+I50+K50+M50</f>
        <v>1.073794277</v>
      </c>
      <c r="F50" s="5"/>
      <c r="G50" s="5"/>
      <c r="H50" s="5"/>
      <c r="I50" s="5"/>
      <c r="J50" s="5"/>
      <c r="K50" s="5"/>
      <c r="L50" s="5"/>
      <c r="M50" s="5">
        <f>909.99515/1000*1.18</f>
        <v>1.073794277</v>
      </c>
      <c r="N50" s="5">
        <f>E50</f>
        <v>1.073794277</v>
      </c>
      <c r="O50" s="5">
        <f>M50</f>
        <v>1.073794277</v>
      </c>
      <c r="P50" s="5">
        <f t="shared" si="13"/>
        <v>0</v>
      </c>
      <c r="Q50" s="5"/>
      <c r="R50" s="5"/>
      <c r="S50" s="5"/>
      <c r="T50" s="6"/>
      <c r="U50" s="6"/>
      <c r="V50" s="6"/>
      <c r="W50" s="7"/>
    </row>
    <row r="51" spans="1:23" ht="27.75" hidden="1" customHeight="1" x14ac:dyDescent="0.25">
      <c r="A51" s="10"/>
      <c r="B51" s="17" t="s">
        <v>68</v>
      </c>
      <c r="C51" s="12"/>
      <c r="D51" s="38">
        <f t="shared" ref="D51:R51" si="16">SUM(D52:D53)</f>
        <v>0</v>
      </c>
      <c r="E51" s="49">
        <f t="shared" si="16"/>
        <v>0</v>
      </c>
      <c r="F51" s="38">
        <f t="shared" si="16"/>
        <v>0</v>
      </c>
      <c r="G51" s="38">
        <f t="shared" si="16"/>
        <v>0</v>
      </c>
      <c r="H51" s="38">
        <f t="shared" si="16"/>
        <v>0</v>
      </c>
      <c r="I51" s="38">
        <f t="shared" si="16"/>
        <v>0</v>
      </c>
      <c r="J51" s="38">
        <f t="shared" si="16"/>
        <v>0</v>
      </c>
      <c r="K51" s="38">
        <f t="shared" si="16"/>
        <v>0</v>
      </c>
      <c r="L51" s="38">
        <f t="shared" si="16"/>
        <v>0</v>
      </c>
      <c r="M51" s="38">
        <f t="shared" si="16"/>
        <v>0</v>
      </c>
      <c r="N51" s="38">
        <f t="shared" si="16"/>
        <v>0</v>
      </c>
      <c r="O51" s="38">
        <f t="shared" si="16"/>
        <v>0</v>
      </c>
      <c r="P51" s="38">
        <f t="shared" si="16"/>
        <v>0</v>
      </c>
      <c r="Q51" s="38">
        <f t="shared" si="16"/>
        <v>0</v>
      </c>
      <c r="R51" s="38">
        <f t="shared" si="16"/>
        <v>0</v>
      </c>
      <c r="S51" s="5"/>
      <c r="T51" s="6"/>
      <c r="U51" s="6"/>
      <c r="V51" s="6"/>
      <c r="W51" s="7"/>
    </row>
    <row r="52" spans="1:23" ht="27.75" hidden="1" customHeight="1" x14ac:dyDescent="0.25">
      <c r="A52" s="13"/>
      <c r="B52" s="14"/>
      <c r="C52" s="12"/>
      <c r="D52" s="5"/>
      <c r="E52" s="15">
        <f>G52+I52+K52+M52</f>
        <v>0</v>
      </c>
      <c r="F52" s="5"/>
      <c r="G52" s="5"/>
      <c r="H52" s="5"/>
      <c r="I52" s="5"/>
      <c r="J52" s="5"/>
      <c r="K52" s="5"/>
      <c r="L52" s="5"/>
      <c r="M52" s="5"/>
      <c r="N52" s="5">
        <f>E52</f>
        <v>0</v>
      </c>
      <c r="O52" s="5">
        <f>E52</f>
        <v>0</v>
      </c>
      <c r="P52" s="5">
        <f>Q52</f>
        <v>0</v>
      </c>
      <c r="Q52" s="5"/>
      <c r="R52" s="5"/>
      <c r="S52" s="5"/>
      <c r="T52" s="6"/>
      <c r="U52" s="6"/>
      <c r="V52" s="6"/>
      <c r="W52" s="7"/>
    </row>
    <row r="53" spans="1:23" ht="27.75" hidden="1" customHeight="1" x14ac:dyDescent="0.25">
      <c r="A53" s="13"/>
      <c r="B53" s="14"/>
      <c r="C53" s="12"/>
      <c r="D53" s="5"/>
      <c r="E53" s="15">
        <f>G53+I53+K53+M53</f>
        <v>0</v>
      </c>
      <c r="F53" s="5"/>
      <c r="G53" s="5"/>
      <c r="H53" s="5"/>
      <c r="I53" s="5"/>
      <c r="J53" s="5"/>
      <c r="K53" s="5"/>
      <c r="L53" s="5"/>
      <c r="M53" s="5"/>
      <c r="N53" s="5">
        <f>E53</f>
        <v>0</v>
      </c>
      <c r="O53" s="5">
        <f>E53</f>
        <v>0</v>
      </c>
      <c r="P53" s="5">
        <f>Q53</f>
        <v>0</v>
      </c>
      <c r="Q53" s="5"/>
      <c r="R53" s="5"/>
      <c r="S53" s="5"/>
      <c r="T53" s="6"/>
      <c r="U53" s="6"/>
      <c r="V53" s="6"/>
      <c r="W53" s="7"/>
    </row>
    <row r="54" spans="1:23" ht="27.75" customHeight="1" x14ac:dyDescent="0.25">
      <c r="A54" s="13"/>
      <c r="B54" s="17" t="s">
        <v>38</v>
      </c>
      <c r="C54" s="12"/>
      <c r="D54" s="38">
        <f t="shared" ref="D54:R54" si="17">SUM(D55:D57)</f>
        <v>0</v>
      </c>
      <c r="E54" s="49">
        <f t="shared" si="17"/>
        <v>0.38426525359999997</v>
      </c>
      <c r="F54" s="38">
        <f t="shared" si="17"/>
        <v>0</v>
      </c>
      <c r="G54" s="38">
        <f t="shared" si="17"/>
        <v>0.1158273958</v>
      </c>
      <c r="H54" s="38">
        <f t="shared" si="17"/>
        <v>0</v>
      </c>
      <c r="I54" s="38">
        <f t="shared" si="17"/>
        <v>0.26843785779999996</v>
      </c>
      <c r="J54" s="38">
        <f t="shared" si="17"/>
        <v>0</v>
      </c>
      <c r="K54" s="38">
        <f t="shared" si="17"/>
        <v>0</v>
      </c>
      <c r="L54" s="38">
        <f t="shared" si="17"/>
        <v>0</v>
      </c>
      <c r="M54" s="38">
        <f t="shared" si="17"/>
        <v>0</v>
      </c>
      <c r="N54" s="38">
        <f t="shared" si="17"/>
        <v>0.38426525359999997</v>
      </c>
      <c r="O54" s="38">
        <f t="shared" si="17"/>
        <v>0</v>
      </c>
      <c r="P54" s="38">
        <f>SUM(P55:P57)</f>
        <v>5.1379476455999997</v>
      </c>
      <c r="Q54" s="38">
        <f t="shared" si="17"/>
        <v>0</v>
      </c>
      <c r="R54" s="38">
        <f t="shared" si="17"/>
        <v>0</v>
      </c>
      <c r="S54" s="5"/>
      <c r="T54" s="6"/>
      <c r="U54" s="6"/>
      <c r="V54" s="6"/>
      <c r="W54" s="7"/>
    </row>
    <row r="55" spans="1:23" ht="27.75" customHeight="1" x14ac:dyDescent="0.25">
      <c r="A55" s="13" t="s">
        <v>64</v>
      </c>
      <c r="B55" s="14" t="s">
        <v>169</v>
      </c>
      <c r="C55" s="12"/>
      <c r="D55" s="5"/>
      <c r="E55" s="15">
        <f>G55+I55+K55+M55</f>
        <v>0.22832990559999999</v>
      </c>
      <c r="F55" s="5"/>
      <c r="G55" s="5">
        <f>80/1000*1.18</f>
        <v>9.4399999999999998E-2</v>
      </c>
      <c r="H55" s="5"/>
      <c r="I55" s="5">
        <f>113.49992/1000*1.18</f>
        <v>0.13392990560000001</v>
      </c>
      <c r="J55" s="5"/>
      <c r="K55" s="5"/>
      <c r="L55" s="5"/>
      <c r="M55" s="5"/>
      <c r="N55" s="5">
        <f>E55</f>
        <v>0.22832990559999999</v>
      </c>
      <c r="O55" s="5">
        <f>K55</f>
        <v>0</v>
      </c>
      <c r="P55" s="5">
        <f>4.20277532*1.18</f>
        <v>4.9592748775999995</v>
      </c>
      <c r="Q55" s="5"/>
      <c r="R55" s="5"/>
      <c r="S55" s="5"/>
      <c r="T55" s="6"/>
      <c r="U55" s="6"/>
      <c r="V55" s="6"/>
      <c r="W55" s="7"/>
    </row>
    <row r="56" spans="1:23" ht="27.75" customHeight="1" x14ac:dyDescent="0.25">
      <c r="A56" s="13" t="s">
        <v>65</v>
      </c>
      <c r="B56" s="14" t="s">
        <v>170</v>
      </c>
      <c r="C56" s="12"/>
      <c r="D56" s="5"/>
      <c r="E56" s="15">
        <f>G56+I56+K56+M56</f>
        <v>0.13450795219999997</v>
      </c>
      <c r="F56" s="5"/>
      <c r="G56" s="5"/>
      <c r="H56" s="5"/>
      <c r="I56" s="5">
        <f>113.98979/1000*1.18</f>
        <v>0.13450795219999997</v>
      </c>
      <c r="J56" s="5"/>
      <c r="K56" s="5"/>
      <c r="L56" s="5"/>
      <c r="M56" s="5"/>
      <c r="N56" s="5">
        <f>E56</f>
        <v>0.13450795219999997</v>
      </c>
      <c r="O56" s="5">
        <f>K56</f>
        <v>0</v>
      </c>
      <c r="P56" s="5">
        <f>E56</f>
        <v>0.13450795219999997</v>
      </c>
      <c r="Q56" s="5"/>
      <c r="R56" s="5"/>
      <c r="S56" s="5"/>
      <c r="T56" s="6"/>
      <c r="U56" s="6"/>
      <c r="V56" s="6"/>
      <c r="W56" s="7"/>
    </row>
    <row r="57" spans="1:23" ht="27.75" customHeight="1" x14ac:dyDescent="0.25">
      <c r="A57" s="13" t="s">
        <v>66</v>
      </c>
      <c r="B57" s="14" t="s">
        <v>171</v>
      </c>
      <c r="C57" s="12"/>
      <c r="D57" s="5"/>
      <c r="E57" s="15">
        <f>G57+I57+K57+M57</f>
        <v>2.1427395799999995E-2</v>
      </c>
      <c r="F57" s="5"/>
      <c r="G57" s="5">
        <f>18.15881/1000*1.18</f>
        <v>2.1427395799999995E-2</v>
      </c>
      <c r="H57" s="5"/>
      <c r="I57" s="5"/>
      <c r="J57" s="5"/>
      <c r="K57" s="5"/>
      <c r="L57" s="5"/>
      <c r="M57" s="5"/>
      <c r="N57" s="5">
        <f>E57</f>
        <v>2.1427395799999995E-2</v>
      </c>
      <c r="O57" s="5">
        <f>K57</f>
        <v>0</v>
      </c>
      <c r="P57" s="5">
        <f>37.42781/1000*1.18</f>
        <v>4.4164815799999993E-2</v>
      </c>
      <c r="Q57" s="5"/>
      <c r="R57" s="5"/>
      <c r="S57" s="5"/>
      <c r="T57" s="6"/>
      <c r="U57" s="6"/>
      <c r="V57" s="6"/>
      <c r="W57" s="7"/>
    </row>
    <row r="58" spans="1:23" ht="27.75" customHeight="1" x14ac:dyDescent="0.25">
      <c r="A58" s="10" t="s">
        <v>69</v>
      </c>
      <c r="B58" s="17" t="s">
        <v>70</v>
      </c>
      <c r="C58" s="12"/>
      <c r="D58" s="38">
        <f t="shared" ref="D58:R58" si="18">SUM(D59:D68)</f>
        <v>3.835</v>
      </c>
      <c r="E58" s="49">
        <f t="shared" si="18"/>
        <v>10.560266571</v>
      </c>
      <c r="F58" s="38">
        <f t="shared" si="18"/>
        <v>0.64900000000000002</v>
      </c>
      <c r="G58" s="38">
        <f t="shared" si="18"/>
        <v>4.2639455878000003</v>
      </c>
      <c r="H58" s="38">
        <f t="shared" si="18"/>
        <v>1.0029999999999999</v>
      </c>
      <c r="I58" s="38">
        <f t="shared" si="18"/>
        <v>1.8510423763999999</v>
      </c>
      <c r="J58" s="38">
        <f t="shared" si="18"/>
        <v>0</v>
      </c>
      <c r="K58" s="38">
        <f t="shared" si="18"/>
        <v>2.5402943004000003</v>
      </c>
      <c r="L58" s="38">
        <f t="shared" si="18"/>
        <v>0</v>
      </c>
      <c r="M58" s="38">
        <f t="shared" si="18"/>
        <v>1.9049843063999994</v>
      </c>
      <c r="N58" s="38">
        <f t="shared" si="18"/>
        <v>10.492451970999999</v>
      </c>
      <c r="O58" s="38">
        <f t="shared" si="18"/>
        <v>1.8371697063999994</v>
      </c>
      <c r="P58" s="38">
        <f t="shared" si="18"/>
        <v>10.069002858599998</v>
      </c>
      <c r="Q58" s="38">
        <f t="shared" si="18"/>
        <v>1.6278626869999995</v>
      </c>
      <c r="R58" s="38">
        <f t="shared" si="18"/>
        <v>3.2230956600000304E-2</v>
      </c>
      <c r="S58" s="5"/>
      <c r="T58" s="6"/>
      <c r="U58" s="6"/>
      <c r="V58" s="6"/>
      <c r="W58" s="7"/>
    </row>
    <row r="59" spans="1:23" ht="27.75" customHeight="1" x14ac:dyDescent="0.25">
      <c r="A59" s="13" t="s">
        <v>71</v>
      </c>
      <c r="B59" s="16" t="s">
        <v>73</v>
      </c>
      <c r="C59" s="12"/>
      <c r="D59" s="5">
        <f>3.25*1.18</f>
        <v>3.835</v>
      </c>
      <c r="E59" s="15">
        <f t="shared" ref="E59:E68" si="19">G59+I59+K59+M59</f>
        <v>3.8027690433999997</v>
      </c>
      <c r="F59" s="5">
        <f>0.55*1.18</f>
        <v>0.64900000000000002</v>
      </c>
      <c r="G59" s="5">
        <f>(24.44345+50+54.44068+483.76339)/1000*1.18</f>
        <v>0.72292407359999999</v>
      </c>
      <c r="H59" s="5">
        <f>0.85*1.18</f>
        <v>1.0029999999999999</v>
      </c>
      <c r="I59" s="5">
        <f>(47.89417+25.90494)/1000*1.18</f>
        <v>8.7082949800000004E-2</v>
      </c>
      <c r="J59" s="5"/>
      <c r="K59" s="5">
        <f>(25.21894+58.99965+442.7239+127.71864+944.75558)/1000*1.18</f>
        <v>1.8873117178000001</v>
      </c>
      <c r="L59" s="5"/>
      <c r="M59" s="5">
        <f>(310.3027+41.18374+41.18374+41.18374+41.18373+41.18374+41.18374+41.18373+41.18374+41.18374+41.18373+41.18374+50.83644+40.09763+41.28221+41.2822)/1000*1.18</f>
        <v>1.1054503021999995</v>
      </c>
      <c r="N59" s="5">
        <f>E59</f>
        <v>3.8027690433999997</v>
      </c>
      <c r="O59" s="5">
        <f>M59</f>
        <v>1.1054503021999995</v>
      </c>
      <c r="P59" s="5">
        <f>(24.44345+50+54.44068+483.76339+47.89417+25.90494+25.21894+58.99965+442.7239+127.71864+944.75558+194.91525+310.3027+41.18374+41.18374+41.18374+41.18373+41.18374+41.18374+41.18373+41.18374+41.18374+41.18373+41.18374+50.83644+40.09763+41.28221+41.2822+77.91974+134.60025)/1000*1.18</f>
        <v>4.2835426266000001</v>
      </c>
      <c r="Q59" s="5">
        <f>M59</f>
        <v>1.1054503021999995</v>
      </c>
      <c r="R59" s="5">
        <f>D59-E59</f>
        <v>3.2230956600000304E-2</v>
      </c>
      <c r="S59" s="5"/>
      <c r="T59" s="6"/>
      <c r="U59" s="6"/>
      <c r="V59" s="6"/>
      <c r="W59" s="7"/>
    </row>
    <row r="60" spans="1:23" ht="27.75" customHeight="1" x14ac:dyDescent="0.25">
      <c r="A60" s="13" t="s">
        <v>72</v>
      </c>
      <c r="B60" s="16" t="s">
        <v>77</v>
      </c>
      <c r="C60" s="12"/>
      <c r="D60" s="5"/>
      <c r="E60" s="15">
        <f t="shared" si="19"/>
        <v>0.19409589899999999</v>
      </c>
      <c r="F60" s="5"/>
      <c r="G60" s="5">
        <f>96.24272/1000*1.18</f>
        <v>0.1135664096</v>
      </c>
      <c r="H60" s="5"/>
      <c r="I60" s="5"/>
      <c r="J60" s="5"/>
      <c r="K60" s="5">
        <f>68.24533/1000*1.18</f>
        <v>8.0529489399999987E-2</v>
      </c>
      <c r="L60" s="5"/>
      <c r="M60" s="5"/>
      <c r="N60" s="5">
        <f t="shared" ref="N60:N68" si="20">E60</f>
        <v>0.19409589899999999</v>
      </c>
      <c r="O60" s="5">
        <f t="shared" ref="O60:O68" si="21">M60</f>
        <v>0</v>
      </c>
      <c r="P60" s="5">
        <f>(96.24272+68.24533)/1000*1.18</f>
        <v>0.19409589899999999</v>
      </c>
      <c r="Q60" s="5"/>
      <c r="R60" s="5"/>
      <c r="S60" s="5"/>
      <c r="T60" s="6"/>
      <c r="U60" s="6"/>
      <c r="V60" s="6"/>
      <c r="W60" s="7"/>
    </row>
    <row r="61" spans="1:23" ht="27.75" customHeight="1" x14ac:dyDescent="0.25">
      <c r="A61" s="13" t="s">
        <v>74</v>
      </c>
      <c r="B61" s="16" t="s">
        <v>172</v>
      </c>
      <c r="C61" s="12"/>
      <c r="D61" s="5"/>
      <c r="E61" s="15">
        <f t="shared" si="19"/>
        <v>1.8174182291999998</v>
      </c>
      <c r="F61" s="5"/>
      <c r="G61" s="5">
        <f>583.83056/1000*1.18</f>
        <v>0.68892006080000001</v>
      </c>
      <c r="H61" s="5"/>
      <c r="I61" s="5">
        <f>0.62803787*1.18</f>
        <v>0.74108468659999993</v>
      </c>
      <c r="J61" s="5"/>
      <c r="K61" s="5">
        <f>328.31651/1000*1.18</f>
        <v>0.38741348179999996</v>
      </c>
      <c r="L61" s="5"/>
      <c r="M61" s="5"/>
      <c r="N61" s="5">
        <f t="shared" si="20"/>
        <v>1.8174182291999998</v>
      </c>
      <c r="O61" s="5">
        <f t="shared" si="21"/>
        <v>0</v>
      </c>
      <c r="P61" s="5">
        <f>1.54018489*1.18</f>
        <v>1.8174181701999998</v>
      </c>
      <c r="Q61" s="5"/>
      <c r="R61" s="5"/>
      <c r="S61" s="5"/>
      <c r="T61" s="6"/>
      <c r="U61" s="6"/>
      <c r="V61" s="6"/>
      <c r="W61" s="7"/>
    </row>
    <row r="62" spans="1:23" ht="40.5" customHeight="1" x14ac:dyDescent="0.25">
      <c r="A62" s="13" t="s">
        <v>75</v>
      </c>
      <c r="B62" s="16" t="s">
        <v>173</v>
      </c>
      <c r="C62" s="12"/>
      <c r="D62" s="5"/>
      <c r="E62" s="15">
        <f t="shared" si="19"/>
        <v>2.7094569173999998</v>
      </c>
      <c r="F62" s="5"/>
      <c r="G62" s="5">
        <f>1836.8941/1000*1.18</f>
        <v>2.167535038</v>
      </c>
      <c r="H62" s="5"/>
      <c r="I62" s="5">
        <f>(0.48515583-0.0259)*1.18</f>
        <v>0.54192187940000003</v>
      </c>
      <c r="J62" s="5"/>
      <c r="K62" s="5"/>
      <c r="L62" s="5"/>
      <c r="M62" s="5"/>
      <c r="N62" s="5">
        <f t="shared" si="20"/>
        <v>2.7094569173999998</v>
      </c>
      <c r="O62" s="5">
        <f t="shared" si="21"/>
        <v>0</v>
      </c>
      <c r="P62" s="5">
        <f>(485.15583+1862.7941)/1000*1.18</f>
        <v>2.7705809174000002</v>
      </c>
      <c r="Q62" s="5"/>
      <c r="R62" s="5"/>
      <c r="S62" s="5"/>
      <c r="T62" s="6"/>
      <c r="U62" s="6"/>
      <c r="V62" s="6"/>
      <c r="W62" s="7"/>
    </row>
    <row r="63" spans="1:23" ht="38.25" customHeight="1" x14ac:dyDescent="0.25">
      <c r="A63" s="13" t="s">
        <v>76</v>
      </c>
      <c r="B63" s="16" t="s">
        <v>174</v>
      </c>
      <c r="C63" s="12"/>
      <c r="D63" s="5"/>
      <c r="E63" s="15">
        <f t="shared" si="19"/>
        <v>0.57100000579999999</v>
      </c>
      <c r="F63" s="5"/>
      <c r="G63" s="5">
        <f>483.89831/1000*1.18</f>
        <v>0.57100000579999999</v>
      </c>
      <c r="H63" s="5"/>
      <c r="I63" s="5"/>
      <c r="J63" s="5"/>
      <c r="K63" s="5"/>
      <c r="L63" s="5"/>
      <c r="M63" s="5"/>
      <c r="N63" s="5">
        <f t="shared" si="20"/>
        <v>0.57100000579999999</v>
      </c>
      <c r="O63" s="5">
        <f t="shared" si="21"/>
        <v>0</v>
      </c>
      <c r="P63" s="5">
        <f>Q63</f>
        <v>0</v>
      </c>
      <c r="Q63" s="5"/>
      <c r="R63" s="5"/>
      <c r="S63" s="5"/>
      <c r="T63" s="6"/>
      <c r="U63" s="6"/>
      <c r="V63" s="6"/>
      <c r="W63" s="7"/>
    </row>
    <row r="64" spans="1:23" ht="38.25" customHeight="1" x14ac:dyDescent="0.25">
      <c r="A64" s="13" t="s">
        <v>78</v>
      </c>
      <c r="B64" s="14" t="s">
        <v>175</v>
      </c>
      <c r="C64" s="12"/>
      <c r="D64" s="5"/>
      <c r="E64" s="15">
        <f>G64+I64+K64+M64</f>
        <v>0.43598543239999998</v>
      </c>
      <c r="F64" s="5"/>
      <c r="G64" s="5"/>
      <c r="H64" s="5"/>
      <c r="I64" s="5"/>
      <c r="J64" s="5"/>
      <c r="K64" s="5">
        <f>(62.81064+83.40342+10.59917)/1000*1.18</f>
        <v>0.18503961139999994</v>
      </c>
      <c r="L64" s="5"/>
      <c r="M64" s="5">
        <f>(24.68795+187.978)/1000*1.18</f>
        <v>0.25094582100000001</v>
      </c>
      <c r="N64" s="5">
        <f>E64</f>
        <v>0.43598543239999998</v>
      </c>
      <c r="O64" s="5">
        <f>M64</f>
        <v>0.25094582100000001</v>
      </c>
      <c r="P64" s="5">
        <f>Q64</f>
        <v>4.1638801599999997E-2</v>
      </c>
      <c r="Q64" s="5">
        <f>35.28712/1000*1.18</f>
        <v>4.1638801599999997E-2</v>
      </c>
      <c r="R64" s="5"/>
      <c r="S64" s="5"/>
      <c r="T64" s="6"/>
      <c r="U64" s="6"/>
      <c r="V64" s="6"/>
      <c r="W64" s="7"/>
    </row>
    <row r="65" spans="1:23" ht="43.5" customHeight="1" x14ac:dyDescent="0.25">
      <c r="A65" s="13" t="s">
        <v>79</v>
      </c>
      <c r="B65" s="16" t="s">
        <v>176</v>
      </c>
      <c r="C65" s="12"/>
      <c r="D65" s="5"/>
      <c r="E65" s="15">
        <f>G65+I65+K65+M65</f>
        <v>0.14520843999999999</v>
      </c>
      <c r="F65" s="5"/>
      <c r="G65" s="5"/>
      <c r="H65" s="5"/>
      <c r="I65" s="5">
        <f>0.123058*1.18</f>
        <v>0.14520843999999999</v>
      </c>
      <c r="J65" s="5"/>
      <c r="K65" s="5"/>
      <c r="L65" s="5"/>
      <c r="M65" s="5"/>
      <c r="N65" s="5">
        <f t="shared" si="20"/>
        <v>0.14520843999999999</v>
      </c>
      <c r="O65" s="5">
        <f t="shared" si="21"/>
        <v>0</v>
      </c>
      <c r="P65" s="5">
        <f>E65</f>
        <v>0.14520843999999999</v>
      </c>
      <c r="Q65" s="5">
        <f>M65</f>
        <v>0</v>
      </c>
      <c r="R65" s="5"/>
      <c r="S65" s="5"/>
      <c r="T65" s="6"/>
      <c r="U65" s="6"/>
      <c r="V65" s="6"/>
      <c r="W65" s="7"/>
    </row>
    <row r="66" spans="1:23" ht="43.5" customHeight="1" x14ac:dyDescent="0.25">
      <c r="A66" s="13" t="s">
        <v>177</v>
      </c>
      <c r="B66" s="16" t="s">
        <v>178</v>
      </c>
      <c r="C66" s="12"/>
      <c r="D66" s="5"/>
      <c r="E66" s="15">
        <f>G66+I66+K66+M66</f>
        <v>0.48077358320000002</v>
      </c>
      <c r="F66" s="5"/>
      <c r="G66" s="5"/>
      <c r="H66" s="5"/>
      <c r="I66" s="5"/>
      <c r="J66" s="5"/>
      <c r="K66" s="5"/>
      <c r="L66" s="5"/>
      <c r="M66" s="5">
        <f>(194.91525+77.91974+134.60025)/1000*1.18</f>
        <v>0.48077358320000002</v>
      </c>
      <c r="N66" s="5">
        <f>E66</f>
        <v>0.48077358320000002</v>
      </c>
      <c r="O66" s="5">
        <f>M66</f>
        <v>0.48077358320000002</v>
      </c>
      <c r="P66" s="5">
        <f>E66</f>
        <v>0.48077358320000002</v>
      </c>
      <c r="Q66" s="5">
        <f>M66</f>
        <v>0.48077358320000002</v>
      </c>
      <c r="R66" s="5"/>
      <c r="S66" s="5"/>
      <c r="T66" s="6"/>
      <c r="U66" s="6"/>
      <c r="V66" s="6"/>
      <c r="W66" s="7"/>
    </row>
    <row r="67" spans="1:23" ht="43.5" customHeight="1" x14ac:dyDescent="0.25">
      <c r="A67" s="13" t="s">
        <v>179</v>
      </c>
      <c r="B67" s="16" t="s">
        <v>180</v>
      </c>
      <c r="C67" s="12"/>
      <c r="D67" s="5"/>
      <c r="E67" s="15">
        <f>G67+I67+K67+M67</f>
        <v>6.7814600000000003E-2</v>
      </c>
      <c r="F67" s="5"/>
      <c r="G67" s="5"/>
      <c r="H67" s="5"/>
      <c r="I67" s="5"/>
      <c r="J67" s="5"/>
      <c r="K67" s="5"/>
      <c r="L67" s="5"/>
      <c r="M67" s="5">
        <f>57.47/1000*1.18</f>
        <v>6.7814600000000003E-2</v>
      </c>
      <c r="N67" s="5"/>
      <c r="O67" s="5"/>
      <c r="P67" s="5"/>
      <c r="Q67" s="5"/>
      <c r="R67" s="5"/>
      <c r="S67" s="5"/>
      <c r="T67" s="6"/>
      <c r="U67" s="6"/>
      <c r="V67" s="6"/>
      <c r="W67" s="7"/>
    </row>
    <row r="68" spans="1:23" ht="27.75" customHeight="1" x14ac:dyDescent="0.25">
      <c r="A68" s="13" t="s">
        <v>181</v>
      </c>
      <c r="B68" s="16" t="s">
        <v>182</v>
      </c>
      <c r="C68" s="12"/>
      <c r="D68" s="5"/>
      <c r="E68" s="15">
        <f t="shared" si="19"/>
        <v>0.33574442059999998</v>
      </c>
      <c r="F68" s="5"/>
      <c r="G68" s="5"/>
      <c r="H68" s="5"/>
      <c r="I68" s="5">
        <f>0.28452917*1.18</f>
        <v>0.33574442059999998</v>
      </c>
      <c r="J68" s="5"/>
      <c r="K68" s="5"/>
      <c r="L68" s="5"/>
      <c r="M68" s="5"/>
      <c r="N68" s="5">
        <f t="shared" si="20"/>
        <v>0.33574442059999998</v>
      </c>
      <c r="O68" s="5">
        <f t="shared" si="21"/>
        <v>0</v>
      </c>
      <c r="P68" s="5">
        <f>E68</f>
        <v>0.33574442059999998</v>
      </c>
      <c r="Q68" s="5"/>
      <c r="R68" s="5"/>
      <c r="S68" s="5"/>
      <c r="T68" s="6"/>
      <c r="U68" s="6"/>
      <c r="V68" s="6"/>
      <c r="W68" s="7"/>
    </row>
    <row r="69" spans="1:23" ht="27.75" customHeight="1" x14ac:dyDescent="0.25">
      <c r="A69" s="10" t="s">
        <v>80</v>
      </c>
      <c r="B69" s="17" t="s">
        <v>81</v>
      </c>
      <c r="C69" s="12"/>
      <c r="D69" s="38">
        <f t="shared" ref="D69:N69" si="22">SUM(D70:D72)</f>
        <v>2.4496799999999999</v>
      </c>
      <c r="E69" s="49">
        <f t="shared" si="22"/>
        <v>2.5196659061999997</v>
      </c>
      <c r="F69" s="38">
        <f t="shared" si="22"/>
        <v>2.4496799999999999</v>
      </c>
      <c r="G69" s="38">
        <f t="shared" si="22"/>
        <v>2.5196659061999997</v>
      </c>
      <c r="H69" s="38">
        <f t="shared" si="22"/>
        <v>0</v>
      </c>
      <c r="I69" s="38">
        <f t="shared" si="22"/>
        <v>0</v>
      </c>
      <c r="J69" s="38">
        <f t="shared" si="22"/>
        <v>0</v>
      </c>
      <c r="K69" s="38">
        <f t="shared" si="22"/>
        <v>0</v>
      </c>
      <c r="L69" s="38">
        <f t="shared" si="22"/>
        <v>0</v>
      </c>
      <c r="M69" s="38">
        <f t="shared" si="22"/>
        <v>0</v>
      </c>
      <c r="N69" s="38">
        <f t="shared" si="22"/>
        <v>2.5196659061999997</v>
      </c>
      <c r="O69" s="5">
        <f>K69</f>
        <v>0</v>
      </c>
      <c r="P69" s="38">
        <f>SUM(P70:P72)</f>
        <v>2.4903587063999999</v>
      </c>
      <c r="Q69" s="38">
        <f>SUM(Q70:Q72)</f>
        <v>0</v>
      </c>
      <c r="R69" s="38">
        <f>SUM(R70:R72)</f>
        <v>0</v>
      </c>
      <c r="S69" s="5"/>
      <c r="T69" s="6"/>
      <c r="U69" s="6"/>
      <c r="V69" s="6"/>
      <c r="W69" s="7"/>
    </row>
    <row r="70" spans="1:23" ht="27.75" customHeight="1" x14ac:dyDescent="0.25">
      <c r="A70" s="13" t="s">
        <v>82</v>
      </c>
      <c r="B70" s="14" t="s">
        <v>183</v>
      </c>
      <c r="C70" s="12"/>
      <c r="D70" s="5">
        <f>0.615*1.18</f>
        <v>0.7256999999999999</v>
      </c>
      <c r="E70" s="15">
        <f>G70+I70+K70+M70</f>
        <v>0.75500719979999986</v>
      </c>
      <c r="F70" s="5">
        <f>0.615*1.18</f>
        <v>0.7256999999999999</v>
      </c>
      <c r="G70" s="5">
        <f>(2.85+19.19+617.79661)/1000*1.18</f>
        <v>0.75500719979999986</v>
      </c>
      <c r="H70" s="5"/>
      <c r="I70" s="5"/>
      <c r="J70" s="5"/>
      <c r="K70" s="5"/>
      <c r="L70" s="5"/>
      <c r="M70" s="5"/>
      <c r="N70" s="5">
        <f>E70</f>
        <v>0.75500719979999986</v>
      </c>
      <c r="O70" s="5">
        <f>M70</f>
        <v>0</v>
      </c>
      <c r="P70" s="5">
        <f>0.615*1.18+Q70</f>
        <v>0.7256999999999999</v>
      </c>
      <c r="Q70" s="5"/>
      <c r="R70" s="5"/>
      <c r="S70" s="5"/>
      <c r="T70" s="6"/>
      <c r="U70" s="6"/>
      <c r="V70" s="6"/>
      <c r="W70" s="7"/>
    </row>
    <row r="71" spans="1:23" ht="27.75" customHeight="1" x14ac:dyDescent="0.25">
      <c r="A71" s="13" t="s">
        <v>83</v>
      </c>
      <c r="B71" s="14" t="s">
        <v>85</v>
      </c>
      <c r="C71" s="12"/>
      <c r="D71" s="5">
        <f>0.663*1.18</f>
        <v>0.78234000000000004</v>
      </c>
      <c r="E71" s="15">
        <f>G71+I71+K71+M71</f>
        <v>0.7963630020000001</v>
      </c>
      <c r="F71" s="5">
        <f>0.663*1.18</f>
        <v>0.78234000000000004</v>
      </c>
      <c r="G71" s="5">
        <f>(2.85+672.0339)/1000*1.18</f>
        <v>0.7963630020000001</v>
      </c>
      <c r="H71" s="5"/>
      <c r="I71" s="5"/>
      <c r="J71" s="5"/>
      <c r="K71" s="5"/>
      <c r="L71" s="5"/>
      <c r="M71" s="5"/>
      <c r="N71" s="5">
        <f>E71</f>
        <v>0.7963630020000001</v>
      </c>
      <c r="O71" s="5">
        <f>M71</f>
        <v>0</v>
      </c>
      <c r="P71" s="5">
        <f>(2.85+672.0339)/1000*1.18+Q71</f>
        <v>0.7963630020000001</v>
      </c>
      <c r="Q71" s="5"/>
      <c r="R71" s="5"/>
      <c r="S71" s="5"/>
      <c r="T71" s="6"/>
      <c r="U71" s="6"/>
      <c r="V71" s="6"/>
      <c r="W71" s="7"/>
    </row>
    <row r="72" spans="1:23" ht="27.75" customHeight="1" x14ac:dyDescent="0.25">
      <c r="A72" s="13" t="s">
        <v>84</v>
      </c>
      <c r="B72" s="14" t="s">
        <v>184</v>
      </c>
      <c r="C72" s="12"/>
      <c r="D72" s="5">
        <f>0.798*1.18</f>
        <v>0.94164000000000003</v>
      </c>
      <c r="E72" s="15">
        <f>G72+I72+K72+M72</f>
        <v>0.9682957043999999</v>
      </c>
      <c r="F72" s="5">
        <f>0.798*1.18</f>
        <v>0.94164000000000003</v>
      </c>
      <c r="G72" s="5">
        <f>(2.85+4.265+813.47458)/1000*1.18</f>
        <v>0.9682957043999999</v>
      </c>
      <c r="H72" s="5"/>
      <c r="I72" s="5"/>
      <c r="J72" s="5"/>
      <c r="K72" s="5"/>
      <c r="L72" s="5"/>
      <c r="M72" s="5"/>
      <c r="N72" s="5">
        <f>E72</f>
        <v>0.9682957043999999</v>
      </c>
      <c r="O72" s="5">
        <f>M72</f>
        <v>0</v>
      </c>
      <c r="P72" s="5">
        <f>(2.85+4.265+813.47458)/1000*1.18+Q72</f>
        <v>0.9682957043999999</v>
      </c>
      <c r="Q72" s="5"/>
      <c r="R72" s="5"/>
      <c r="S72" s="5"/>
      <c r="T72" s="6"/>
      <c r="U72" s="6"/>
      <c r="V72" s="6"/>
      <c r="W72" s="7"/>
    </row>
    <row r="73" spans="1:23" ht="73.5" customHeight="1" x14ac:dyDescent="0.25">
      <c r="A73" s="18" t="s">
        <v>86</v>
      </c>
      <c r="B73" s="19" t="s">
        <v>88</v>
      </c>
      <c r="C73" s="12"/>
      <c r="D73" s="38">
        <f>9.722*1.18</f>
        <v>11.471959999999999</v>
      </c>
      <c r="E73" s="49">
        <f>G73+I73+K73+M73</f>
        <v>16.373013701200001</v>
      </c>
      <c r="F73" s="38">
        <v>2</v>
      </c>
      <c r="G73" s="38">
        <f>(123.281+347.05163+340.3043+19.837+123.77946+19.837+441.72317+7.52289+19.837+319.10808+77.06917+142.2513+70.48627)/1000*1.18</f>
        <v>2.4214641585999992</v>
      </c>
      <c r="H73" s="38">
        <f>3.85*1.18</f>
        <v>4.5430000000000001</v>
      </c>
      <c r="I73" s="38">
        <f>2.41685599*1.18</f>
        <v>2.8518900681999999</v>
      </c>
      <c r="J73" s="38"/>
      <c r="K73" s="38">
        <f>2.21535124*1.18</f>
        <v>2.6141144632</v>
      </c>
      <c r="L73" s="38"/>
      <c r="M73" s="38">
        <f>(4176.87713+11.10387+7.05298+7.69417+19.86206+6.69234+127.11864+136.55799+77.05125+79.53571+1380.26718+20.251+20.251+1120.82452)/1000*1.18</f>
        <v>8.485545011200001</v>
      </c>
      <c r="N73" s="38">
        <f>E73</f>
        <v>16.373013701200001</v>
      </c>
      <c r="O73" s="38">
        <f>M73</f>
        <v>8.485545011200001</v>
      </c>
      <c r="P73" s="5">
        <f>(6.60222794)*1.18</f>
        <v>7.7906289691999993</v>
      </c>
      <c r="Q73" s="38">
        <f>0.36097888*1.18</f>
        <v>0.42595507839999996</v>
      </c>
      <c r="R73" s="38"/>
      <c r="S73" s="5"/>
      <c r="T73" s="6"/>
      <c r="U73" s="6"/>
      <c r="V73" s="6"/>
      <c r="W73" s="7"/>
    </row>
    <row r="74" spans="1:23" ht="73.5" customHeight="1" x14ac:dyDescent="0.25">
      <c r="A74" s="18" t="s">
        <v>87</v>
      </c>
      <c r="B74" s="19" t="s">
        <v>90</v>
      </c>
      <c r="C74" s="12"/>
      <c r="D74" s="38"/>
      <c r="E74" s="49">
        <f>G74+I74+K74+M74</f>
        <v>46.950481695799994</v>
      </c>
      <c r="F74" s="38"/>
      <c r="G74" s="38">
        <f>((19.837+19.837+29.599+44.37)+(96.9094+95.64+99.69+53.594+62.667+3960.19839+79.21262+785.83739))/1000*1.18</f>
        <v>6.3099223240000004</v>
      </c>
      <c r="H74" s="38"/>
      <c r="I74" s="38">
        <f>(1.53596082+11.59833185)*1.18</f>
        <v>15.498465350599998</v>
      </c>
      <c r="J74" s="38"/>
      <c r="K74" s="38">
        <f>(0.69888975+5.25091296)*1.18</f>
        <v>7.0207671977999997</v>
      </c>
      <c r="L74" s="38"/>
      <c r="M74" s="38">
        <f>(231.18644+508.47458+27.371+56.096+30.29613+3482.83016+5294.45328+24.005+69.541+4674.97833+81.57995+11.25854+864.98622)/1000*1.18</f>
        <v>18.121326823399997</v>
      </c>
      <c r="N74" s="38">
        <f>E74</f>
        <v>46.950481695799994</v>
      </c>
      <c r="O74" s="38">
        <f>M74</f>
        <v>18.121326823399997</v>
      </c>
      <c r="P74" s="5">
        <f>(3.08815459+27.42058877)*1.18</f>
        <v>36.000317164799995</v>
      </c>
      <c r="Q74" s="38">
        <f>(0.81836002+9.65545867)*1.18</f>
        <v>12.3591060542</v>
      </c>
      <c r="R74" s="38"/>
      <c r="S74" s="5"/>
      <c r="T74" s="6"/>
      <c r="U74" s="6"/>
      <c r="V74" s="6"/>
      <c r="W74" s="7"/>
    </row>
    <row r="75" spans="1:23" ht="27.75" customHeight="1" x14ac:dyDescent="0.25">
      <c r="A75" s="107" t="s">
        <v>91</v>
      </c>
      <c r="B75" s="108"/>
      <c r="C75" s="12"/>
      <c r="D75" s="5"/>
      <c r="E75" s="15"/>
      <c r="F75" s="5"/>
      <c r="G75" s="5"/>
      <c r="H75" s="5"/>
      <c r="I75" s="5"/>
      <c r="J75" s="5"/>
      <c r="K75" s="5"/>
      <c r="L75" s="5"/>
      <c r="M75" s="5"/>
      <c r="N75" s="50"/>
      <c r="O75" s="50"/>
      <c r="P75" s="50"/>
      <c r="Q75" s="50"/>
      <c r="R75" s="5"/>
      <c r="S75" s="5"/>
      <c r="T75" s="6"/>
      <c r="U75" s="6"/>
      <c r="V75" s="6"/>
      <c r="W75" s="7"/>
    </row>
    <row r="76" spans="1:23" ht="27.75" customHeight="1" thickBot="1" x14ac:dyDescent="0.3">
      <c r="A76" s="20"/>
      <c r="B76" s="21" t="s">
        <v>92</v>
      </c>
      <c r="C76" s="22"/>
      <c r="D76" s="23"/>
      <c r="E76" s="51"/>
      <c r="F76" s="23"/>
      <c r="G76" s="23"/>
      <c r="H76" s="23"/>
      <c r="I76" s="23"/>
      <c r="J76" s="23"/>
      <c r="K76" s="23"/>
      <c r="L76" s="23"/>
      <c r="M76" s="23"/>
      <c r="N76" s="52"/>
      <c r="O76" s="52"/>
      <c r="P76" s="52"/>
      <c r="Q76" s="52"/>
      <c r="R76" s="23"/>
      <c r="S76" s="23"/>
      <c r="T76" s="24"/>
      <c r="U76" s="24"/>
      <c r="V76" s="24"/>
      <c r="W76" s="25"/>
    </row>
    <row r="77" spans="1:23" ht="15.75" x14ac:dyDescent="0.25"/>
    <row r="78" spans="1:23" ht="15.75" x14ac:dyDescent="0.25">
      <c r="B78" s="39" t="s">
        <v>93</v>
      </c>
    </row>
    <row r="79" spans="1:23" ht="15.75" x14ac:dyDescent="0.25">
      <c r="B79" s="39" t="s">
        <v>94</v>
      </c>
    </row>
    <row r="80" spans="1:23" ht="15.75" x14ac:dyDescent="0.25">
      <c r="B80" s="39" t="s">
        <v>95</v>
      </c>
    </row>
    <row r="81" spans="2:2" ht="15.75" x14ac:dyDescent="0.25"/>
    <row r="82" spans="2:2" ht="15.75" x14ac:dyDescent="0.25">
      <c r="B82" s="39" t="s">
        <v>96</v>
      </c>
    </row>
  </sheetData>
  <mergeCells count="19">
    <mergeCell ref="A7:W7"/>
    <mergeCell ref="A15:A17"/>
    <mergeCell ref="B15:B17"/>
    <mergeCell ref="C15:C17"/>
    <mergeCell ref="D15:M15"/>
    <mergeCell ref="N15:O16"/>
    <mergeCell ref="P15:Q16"/>
    <mergeCell ref="R15:R17"/>
    <mergeCell ref="S15:V15"/>
    <mergeCell ref="W15:W17"/>
    <mergeCell ref="T16:T17"/>
    <mergeCell ref="U16:V16"/>
    <mergeCell ref="A75:B75"/>
    <mergeCell ref="D16:E16"/>
    <mergeCell ref="F16:G16"/>
    <mergeCell ref="H16:I16"/>
    <mergeCell ref="J16:K16"/>
    <mergeCell ref="L16:M16"/>
    <mergeCell ref="S16:S17"/>
  </mergeCells>
  <dataValidations count="2">
    <dataValidation type="decimal" allowBlank="1" showErrorMessage="1" errorTitle="Ошибка" error="Допускается ввод только неотрицательных чисел!" sqref="G70:M70 JC70:JI70 SY70:TE70 ACU70:ADA70 AMQ70:AMW70 AWM70:AWS70 BGI70:BGO70 BQE70:BQK70 CAA70:CAG70 CJW70:CKC70 CTS70:CTY70 DDO70:DDU70 DNK70:DNQ70 DXG70:DXM70 EHC70:EHI70 EQY70:ERE70 FAU70:FBA70 FKQ70:FKW70 FUM70:FUS70 GEI70:GEO70 GOE70:GOK70 GYA70:GYG70 HHW70:HIC70 HRS70:HRY70 IBO70:IBU70 ILK70:ILQ70 IVG70:IVM70 JFC70:JFI70 JOY70:JPE70 JYU70:JZA70 KIQ70:KIW70 KSM70:KSS70 LCI70:LCO70 LME70:LMK70 LWA70:LWG70 MFW70:MGC70 MPS70:MPY70 MZO70:MZU70 NJK70:NJQ70 NTG70:NTM70 ODC70:ODI70 OMY70:ONE70 OWU70:OXA70 PGQ70:PGW70 PQM70:PQS70 QAI70:QAO70 QKE70:QKK70 QUA70:QUG70 RDW70:REC70 RNS70:RNY70 RXO70:RXU70 SHK70:SHQ70 SRG70:SRM70 TBC70:TBI70 TKY70:TLE70 TUU70:TVA70 UEQ70:UEW70 UOM70:UOS70 UYI70:UYO70 VIE70:VIK70 VSA70:VSG70 WBW70:WCC70 WLS70:WLY70 WVO70:WVU70 G65606:M65606 JC65606:JI65606 SY65606:TE65606 ACU65606:ADA65606 AMQ65606:AMW65606 AWM65606:AWS65606 BGI65606:BGO65606 BQE65606:BQK65606 CAA65606:CAG65606 CJW65606:CKC65606 CTS65606:CTY65606 DDO65606:DDU65606 DNK65606:DNQ65606 DXG65606:DXM65606 EHC65606:EHI65606 EQY65606:ERE65606 FAU65606:FBA65606 FKQ65606:FKW65606 FUM65606:FUS65606 GEI65606:GEO65606 GOE65606:GOK65606 GYA65606:GYG65606 HHW65606:HIC65606 HRS65606:HRY65606 IBO65606:IBU65606 ILK65606:ILQ65606 IVG65606:IVM65606 JFC65606:JFI65606 JOY65606:JPE65606 JYU65606:JZA65606 KIQ65606:KIW65606 KSM65606:KSS65606 LCI65606:LCO65606 LME65606:LMK65606 LWA65606:LWG65606 MFW65606:MGC65606 MPS65606:MPY65606 MZO65606:MZU65606 NJK65606:NJQ65606 NTG65606:NTM65606 ODC65606:ODI65606 OMY65606:ONE65606 OWU65606:OXA65606 PGQ65606:PGW65606 PQM65606:PQS65606 QAI65606:QAO65606 QKE65606:QKK65606 QUA65606:QUG65606 RDW65606:REC65606 RNS65606:RNY65606 RXO65606:RXU65606 SHK65606:SHQ65606 SRG65606:SRM65606 TBC65606:TBI65606 TKY65606:TLE65606 TUU65606:TVA65606 UEQ65606:UEW65606 UOM65606:UOS65606 UYI65606:UYO65606 VIE65606:VIK65606 VSA65606:VSG65606 WBW65606:WCC65606 WLS65606:WLY65606 WVO65606:WVU65606 G131142:M131142 JC131142:JI131142 SY131142:TE131142 ACU131142:ADA131142 AMQ131142:AMW131142 AWM131142:AWS131142 BGI131142:BGO131142 BQE131142:BQK131142 CAA131142:CAG131142 CJW131142:CKC131142 CTS131142:CTY131142 DDO131142:DDU131142 DNK131142:DNQ131142 DXG131142:DXM131142 EHC131142:EHI131142 EQY131142:ERE131142 FAU131142:FBA131142 FKQ131142:FKW131142 FUM131142:FUS131142 GEI131142:GEO131142 GOE131142:GOK131142 GYA131142:GYG131142 HHW131142:HIC131142 HRS131142:HRY131142 IBO131142:IBU131142 ILK131142:ILQ131142 IVG131142:IVM131142 JFC131142:JFI131142 JOY131142:JPE131142 JYU131142:JZA131142 KIQ131142:KIW131142 KSM131142:KSS131142 LCI131142:LCO131142 LME131142:LMK131142 LWA131142:LWG131142 MFW131142:MGC131142 MPS131142:MPY131142 MZO131142:MZU131142 NJK131142:NJQ131142 NTG131142:NTM131142 ODC131142:ODI131142 OMY131142:ONE131142 OWU131142:OXA131142 PGQ131142:PGW131142 PQM131142:PQS131142 QAI131142:QAO131142 QKE131142:QKK131142 QUA131142:QUG131142 RDW131142:REC131142 RNS131142:RNY131142 RXO131142:RXU131142 SHK131142:SHQ131142 SRG131142:SRM131142 TBC131142:TBI131142 TKY131142:TLE131142 TUU131142:TVA131142 UEQ131142:UEW131142 UOM131142:UOS131142 UYI131142:UYO131142 VIE131142:VIK131142 VSA131142:VSG131142 WBW131142:WCC131142 WLS131142:WLY131142 WVO131142:WVU131142 G196678:M196678 JC196678:JI196678 SY196678:TE196678 ACU196678:ADA196678 AMQ196678:AMW196678 AWM196678:AWS196678 BGI196678:BGO196678 BQE196678:BQK196678 CAA196678:CAG196678 CJW196678:CKC196678 CTS196678:CTY196678 DDO196678:DDU196678 DNK196678:DNQ196678 DXG196678:DXM196678 EHC196678:EHI196678 EQY196678:ERE196678 FAU196678:FBA196678 FKQ196678:FKW196678 FUM196678:FUS196678 GEI196678:GEO196678 GOE196678:GOK196678 GYA196678:GYG196678 HHW196678:HIC196678 HRS196678:HRY196678 IBO196678:IBU196678 ILK196678:ILQ196678 IVG196678:IVM196678 JFC196678:JFI196678 JOY196678:JPE196678 JYU196678:JZA196678 KIQ196678:KIW196678 KSM196678:KSS196678 LCI196678:LCO196678 LME196678:LMK196678 LWA196678:LWG196678 MFW196678:MGC196678 MPS196678:MPY196678 MZO196678:MZU196678 NJK196678:NJQ196678 NTG196678:NTM196678 ODC196678:ODI196678 OMY196678:ONE196678 OWU196678:OXA196678 PGQ196678:PGW196678 PQM196678:PQS196678 QAI196678:QAO196678 QKE196678:QKK196678 QUA196678:QUG196678 RDW196678:REC196678 RNS196678:RNY196678 RXO196678:RXU196678 SHK196678:SHQ196678 SRG196678:SRM196678 TBC196678:TBI196678 TKY196678:TLE196678 TUU196678:TVA196678 UEQ196678:UEW196678 UOM196678:UOS196678 UYI196678:UYO196678 VIE196678:VIK196678 VSA196678:VSG196678 WBW196678:WCC196678 WLS196678:WLY196678 WVO196678:WVU196678 G262214:M262214 JC262214:JI262214 SY262214:TE262214 ACU262214:ADA262214 AMQ262214:AMW262214 AWM262214:AWS262214 BGI262214:BGO262214 BQE262214:BQK262214 CAA262214:CAG262214 CJW262214:CKC262214 CTS262214:CTY262214 DDO262214:DDU262214 DNK262214:DNQ262214 DXG262214:DXM262214 EHC262214:EHI262214 EQY262214:ERE262214 FAU262214:FBA262214 FKQ262214:FKW262214 FUM262214:FUS262214 GEI262214:GEO262214 GOE262214:GOK262214 GYA262214:GYG262214 HHW262214:HIC262214 HRS262214:HRY262214 IBO262214:IBU262214 ILK262214:ILQ262214 IVG262214:IVM262214 JFC262214:JFI262214 JOY262214:JPE262214 JYU262214:JZA262214 KIQ262214:KIW262214 KSM262214:KSS262214 LCI262214:LCO262214 LME262214:LMK262214 LWA262214:LWG262214 MFW262214:MGC262214 MPS262214:MPY262214 MZO262214:MZU262214 NJK262214:NJQ262214 NTG262214:NTM262214 ODC262214:ODI262214 OMY262214:ONE262214 OWU262214:OXA262214 PGQ262214:PGW262214 PQM262214:PQS262214 QAI262214:QAO262214 QKE262214:QKK262214 QUA262214:QUG262214 RDW262214:REC262214 RNS262214:RNY262214 RXO262214:RXU262214 SHK262214:SHQ262214 SRG262214:SRM262214 TBC262214:TBI262214 TKY262214:TLE262214 TUU262214:TVA262214 UEQ262214:UEW262214 UOM262214:UOS262214 UYI262214:UYO262214 VIE262214:VIK262214 VSA262214:VSG262214 WBW262214:WCC262214 WLS262214:WLY262214 WVO262214:WVU262214 G327750:M327750 JC327750:JI327750 SY327750:TE327750 ACU327750:ADA327750 AMQ327750:AMW327750 AWM327750:AWS327750 BGI327750:BGO327750 BQE327750:BQK327750 CAA327750:CAG327750 CJW327750:CKC327750 CTS327750:CTY327750 DDO327750:DDU327750 DNK327750:DNQ327750 DXG327750:DXM327750 EHC327750:EHI327750 EQY327750:ERE327750 FAU327750:FBA327750 FKQ327750:FKW327750 FUM327750:FUS327750 GEI327750:GEO327750 GOE327750:GOK327750 GYA327750:GYG327750 HHW327750:HIC327750 HRS327750:HRY327750 IBO327750:IBU327750 ILK327750:ILQ327750 IVG327750:IVM327750 JFC327750:JFI327750 JOY327750:JPE327750 JYU327750:JZA327750 KIQ327750:KIW327750 KSM327750:KSS327750 LCI327750:LCO327750 LME327750:LMK327750 LWA327750:LWG327750 MFW327750:MGC327750 MPS327750:MPY327750 MZO327750:MZU327750 NJK327750:NJQ327750 NTG327750:NTM327750 ODC327750:ODI327750 OMY327750:ONE327750 OWU327750:OXA327750 PGQ327750:PGW327750 PQM327750:PQS327750 QAI327750:QAO327750 QKE327750:QKK327750 QUA327750:QUG327750 RDW327750:REC327750 RNS327750:RNY327750 RXO327750:RXU327750 SHK327750:SHQ327750 SRG327750:SRM327750 TBC327750:TBI327750 TKY327750:TLE327750 TUU327750:TVA327750 UEQ327750:UEW327750 UOM327750:UOS327750 UYI327750:UYO327750 VIE327750:VIK327750 VSA327750:VSG327750 WBW327750:WCC327750 WLS327750:WLY327750 WVO327750:WVU327750 G393286:M393286 JC393286:JI393286 SY393286:TE393286 ACU393286:ADA393286 AMQ393286:AMW393286 AWM393286:AWS393286 BGI393286:BGO393286 BQE393286:BQK393286 CAA393286:CAG393286 CJW393286:CKC393286 CTS393286:CTY393286 DDO393286:DDU393286 DNK393286:DNQ393286 DXG393286:DXM393286 EHC393286:EHI393286 EQY393286:ERE393286 FAU393286:FBA393286 FKQ393286:FKW393286 FUM393286:FUS393286 GEI393286:GEO393286 GOE393286:GOK393286 GYA393286:GYG393286 HHW393286:HIC393286 HRS393286:HRY393286 IBO393286:IBU393286 ILK393286:ILQ393286 IVG393286:IVM393286 JFC393286:JFI393286 JOY393286:JPE393286 JYU393286:JZA393286 KIQ393286:KIW393286 KSM393286:KSS393286 LCI393286:LCO393286 LME393286:LMK393286 LWA393286:LWG393286 MFW393286:MGC393286 MPS393286:MPY393286 MZO393286:MZU393286 NJK393286:NJQ393286 NTG393286:NTM393286 ODC393286:ODI393286 OMY393286:ONE393286 OWU393286:OXA393286 PGQ393286:PGW393286 PQM393286:PQS393286 QAI393286:QAO393286 QKE393286:QKK393286 QUA393286:QUG393286 RDW393286:REC393286 RNS393286:RNY393286 RXO393286:RXU393286 SHK393286:SHQ393286 SRG393286:SRM393286 TBC393286:TBI393286 TKY393286:TLE393286 TUU393286:TVA393286 UEQ393286:UEW393286 UOM393286:UOS393286 UYI393286:UYO393286 VIE393286:VIK393286 VSA393286:VSG393286 WBW393286:WCC393286 WLS393286:WLY393286 WVO393286:WVU393286 G458822:M458822 JC458822:JI458822 SY458822:TE458822 ACU458822:ADA458822 AMQ458822:AMW458822 AWM458822:AWS458822 BGI458822:BGO458822 BQE458822:BQK458822 CAA458822:CAG458822 CJW458822:CKC458822 CTS458822:CTY458822 DDO458822:DDU458822 DNK458822:DNQ458822 DXG458822:DXM458822 EHC458822:EHI458822 EQY458822:ERE458822 FAU458822:FBA458822 FKQ458822:FKW458822 FUM458822:FUS458822 GEI458822:GEO458822 GOE458822:GOK458822 GYA458822:GYG458822 HHW458822:HIC458822 HRS458822:HRY458822 IBO458822:IBU458822 ILK458822:ILQ458822 IVG458822:IVM458822 JFC458822:JFI458822 JOY458822:JPE458822 JYU458822:JZA458822 KIQ458822:KIW458822 KSM458822:KSS458822 LCI458822:LCO458822 LME458822:LMK458822 LWA458822:LWG458822 MFW458822:MGC458822 MPS458822:MPY458822 MZO458822:MZU458822 NJK458822:NJQ458822 NTG458822:NTM458822 ODC458822:ODI458822 OMY458822:ONE458822 OWU458822:OXA458822 PGQ458822:PGW458822 PQM458822:PQS458822 QAI458822:QAO458822 QKE458822:QKK458822 QUA458822:QUG458822 RDW458822:REC458822 RNS458822:RNY458822 RXO458822:RXU458822 SHK458822:SHQ458822 SRG458822:SRM458822 TBC458822:TBI458822 TKY458822:TLE458822 TUU458822:TVA458822 UEQ458822:UEW458822 UOM458822:UOS458822 UYI458822:UYO458822 VIE458822:VIK458822 VSA458822:VSG458822 WBW458822:WCC458822 WLS458822:WLY458822 WVO458822:WVU458822 G524358:M524358 JC524358:JI524358 SY524358:TE524358 ACU524358:ADA524358 AMQ524358:AMW524358 AWM524358:AWS524358 BGI524358:BGO524358 BQE524358:BQK524358 CAA524358:CAG524358 CJW524358:CKC524358 CTS524358:CTY524358 DDO524358:DDU524358 DNK524358:DNQ524358 DXG524358:DXM524358 EHC524358:EHI524358 EQY524358:ERE524358 FAU524358:FBA524358 FKQ524358:FKW524358 FUM524358:FUS524358 GEI524358:GEO524358 GOE524358:GOK524358 GYA524358:GYG524358 HHW524358:HIC524358 HRS524358:HRY524358 IBO524358:IBU524358 ILK524358:ILQ524358 IVG524358:IVM524358 JFC524358:JFI524358 JOY524358:JPE524358 JYU524358:JZA524358 KIQ524358:KIW524358 KSM524358:KSS524358 LCI524358:LCO524358 LME524358:LMK524358 LWA524358:LWG524358 MFW524358:MGC524358 MPS524358:MPY524358 MZO524358:MZU524358 NJK524358:NJQ524358 NTG524358:NTM524358 ODC524358:ODI524358 OMY524358:ONE524358 OWU524358:OXA524358 PGQ524358:PGW524358 PQM524358:PQS524358 QAI524358:QAO524358 QKE524358:QKK524358 QUA524358:QUG524358 RDW524358:REC524358 RNS524358:RNY524358 RXO524358:RXU524358 SHK524358:SHQ524358 SRG524358:SRM524358 TBC524358:TBI524358 TKY524358:TLE524358 TUU524358:TVA524358 UEQ524358:UEW524358 UOM524358:UOS524358 UYI524358:UYO524358 VIE524358:VIK524358 VSA524358:VSG524358 WBW524358:WCC524358 WLS524358:WLY524358 WVO524358:WVU524358 G589894:M589894 JC589894:JI589894 SY589894:TE589894 ACU589894:ADA589894 AMQ589894:AMW589894 AWM589894:AWS589894 BGI589894:BGO589894 BQE589894:BQK589894 CAA589894:CAG589894 CJW589894:CKC589894 CTS589894:CTY589894 DDO589894:DDU589894 DNK589894:DNQ589894 DXG589894:DXM589894 EHC589894:EHI589894 EQY589894:ERE589894 FAU589894:FBA589894 FKQ589894:FKW589894 FUM589894:FUS589894 GEI589894:GEO589894 GOE589894:GOK589894 GYA589894:GYG589894 HHW589894:HIC589894 HRS589894:HRY589894 IBO589894:IBU589894 ILK589894:ILQ589894 IVG589894:IVM589894 JFC589894:JFI589894 JOY589894:JPE589894 JYU589894:JZA589894 KIQ589894:KIW589894 KSM589894:KSS589894 LCI589894:LCO589894 LME589894:LMK589894 LWA589894:LWG589894 MFW589894:MGC589894 MPS589894:MPY589894 MZO589894:MZU589894 NJK589894:NJQ589894 NTG589894:NTM589894 ODC589894:ODI589894 OMY589894:ONE589894 OWU589894:OXA589894 PGQ589894:PGW589894 PQM589894:PQS589894 QAI589894:QAO589894 QKE589894:QKK589894 QUA589894:QUG589894 RDW589894:REC589894 RNS589894:RNY589894 RXO589894:RXU589894 SHK589894:SHQ589894 SRG589894:SRM589894 TBC589894:TBI589894 TKY589894:TLE589894 TUU589894:TVA589894 UEQ589894:UEW589894 UOM589894:UOS589894 UYI589894:UYO589894 VIE589894:VIK589894 VSA589894:VSG589894 WBW589894:WCC589894 WLS589894:WLY589894 WVO589894:WVU589894 G655430:M655430 JC655430:JI655430 SY655430:TE655430 ACU655430:ADA655430 AMQ655430:AMW655430 AWM655430:AWS655430 BGI655430:BGO655430 BQE655430:BQK655430 CAA655430:CAG655430 CJW655430:CKC655430 CTS655430:CTY655430 DDO655430:DDU655430 DNK655430:DNQ655430 DXG655430:DXM655430 EHC655430:EHI655430 EQY655430:ERE655430 FAU655430:FBA655430 FKQ655430:FKW655430 FUM655430:FUS655430 GEI655430:GEO655430 GOE655430:GOK655430 GYA655430:GYG655430 HHW655430:HIC655430 HRS655430:HRY655430 IBO655430:IBU655430 ILK655430:ILQ655430 IVG655430:IVM655430 JFC655430:JFI655430 JOY655430:JPE655430 JYU655430:JZA655430 KIQ655430:KIW655430 KSM655430:KSS655430 LCI655430:LCO655430 LME655430:LMK655430 LWA655430:LWG655430 MFW655430:MGC655430 MPS655430:MPY655430 MZO655430:MZU655430 NJK655430:NJQ655430 NTG655430:NTM655430 ODC655430:ODI655430 OMY655430:ONE655430 OWU655430:OXA655430 PGQ655430:PGW655430 PQM655430:PQS655430 QAI655430:QAO655430 QKE655430:QKK655430 QUA655430:QUG655430 RDW655430:REC655430 RNS655430:RNY655430 RXO655430:RXU655430 SHK655430:SHQ655430 SRG655430:SRM655430 TBC655430:TBI655430 TKY655430:TLE655430 TUU655430:TVA655430 UEQ655430:UEW655430 UOM655430:UOS655430 UYI655430:UYO655430 VIE655430:VIK655430 VSA655430:VSG655430 WBW655430:WCC655430 WLS655430:WLY655430 WVO655430:WVU655430 G720966:M720966 JC720966:JI720966 SY720966:TE720966 ACU720966:ADA720966 AMQ720966:AMW720966 AWM720966:AWS720966 BGI720966:BGO720966 BQE720966:BQK720966 CAA720966:CAG720966 CJW720966:CKC720966 CTS720966:CTY720966 DDO720966:DDU720966 DNK720966:DNQ720966 DXG720966:DXM720966 EHC720966:EHI720966 EQY720966:ERE720966 FAU720966:FBA720966 FKQ720966:FKW720966 FUM720966:FUS720966 GEI720966:GEO720966 GOE720966:GOK720966 GYA720966:GYG720966 HHW720966:HIC720966 HRS720966:HRY720966 IBO720966:IBU720966 ILK720966:ILQ720966 IVG720966:IVM720966 JFC720966:JFI720966 JOY720966:JPE720966 JYU720966:JZA720966 KIQ720966:KIW720966 KSM720966:KSS720966 LCI720966:LCO720966 LME720966:LMK720966 LWA720966:LWG720966 MFW720966:MGC720966 MPS720966:MPY720966 MZO720966:MZU720966 NJK720966:NJQ720966 NTG720966:NTM720966 ODC720966:ODI720966 OMY720966:ONE720966 OWU720966:OXA720966 PGQ720966:PGW720966 PQM720966:PQS720966 QAI720966:QAO720966 QKE720966:QKK720966 QUA720966:QUG720966 RDW720966:REC720966 RNS720966:RNY720966 RXO720966:RXU720966 SHK720966:SHQ720966 SRG720966:SRM720966 TBC720966:TBI720966 TKY720966:TLE720966 TUU720966:TVA720966 UEQ720966:UEW720966 UOM720966:UOS720966 UYI720966:UYO720966 VIE720966:VIK720966 VSA720966:VSG720966 WBW720966:WCC720966 WLS720966:WLY720966 WVO720966:WVU720966 G786502:M786502 JC786502:JI786502 SY786502:TE786502 ACU786502:ADA786502 AMQ786502:AMW786502 AWM786502:AWS786502 BGI786502:BGO786502 BQE786502:BQK786502 CAA786502:CAG786502 CJW786502:CKC786502 CTS786502:CTY786502 DDO786502:DDU786502 DNK786502:DNQ786502 DXG786502:DXM786502 EHC786502:EHI786502 EQY786502:ERE786502 FAU786502:FBA786502 FKQ786502:FKW786502 FUM786502:FUS786502 GEI786502:GEO786502 GOE786502:GOK786502 GYA786502:GYG786502 HHW786502:HIC786502 HRS786502:HRY786502 IBO786502:IBU786502 ILK786502:ILQ786502 IVG786502:IVM786502 JFC786502:JFI786502 JOY786502:JPE786502 JYU786502:JZA786502 KIQ786502:KIW786502 KSM786502:KSS786502 LCI786502:LCO786502 LME786502:LMK786502 LWA786502:LWG786502 MFW786502:MGC786502 MPS786502:MPY786502 MZO786502:MZU786502 NJK786502:NJQ786502 NTG786502:NTM786502 ODC786502:ODI786502 OMY786502:ONE786502 OWU786502:OXA786502 PGQ786502:PGW786502 PQM786502:PQS786502 QAI786502:QAO786502 QKE786502:QKK786502 QUA786502:QUG786502 RDW786502:REC786502 RNS786502:RNY786502 RXO786502:RXU786502 SHK786502:SHQ786502 SRG786502:SRM786502 TBC786502:TBI786502 TKY786502:TLE786502 TUU786502:TVA786502 UEQ786502:UEW786502 UOM786502:UOS786502 UYI786502:UYO786502 VIE786502:VIK786502 VSA786502:VSG786502 WBW786502:WCC786502 WLS786502:WLY786502 WVO786502:WVU786502 G852038:M852038 JC852038:JI852038 SY852038:TE852038 ACU852038:ADA852038 AMQ852038:AMW852038 AWM852038:AWS852038 BGI852038:BGO852038 BQE852038:BQK852038 CAA852038:CAG852038 CJW852038:CKC852038 CTS852038:CTY852038 DDO852038:DDU852038 DNK852038:DNQ852038 DXG852038:DXM852038 EHC852038:EHI852038 EQY852038:ERE852038 FAU852038:FBA852038 FKQ852038:FKW852038 FUM852038:FUS852038 GEI852038:GEO852038 GOE852038:GOK852038 GYA852038:GYG852038 HHW852038:HIC852038 HRS852038:HRY852038 IBO852038:IBU852038 ILK852038:ILQ852038 IVG852038:IVM852038 JFC852038:JFI852038 JOY852038:JPE852038 JYU852038:JZA852038 KIQ852038:KIW852038 KSM852038:KSS852038 LCI852038:LCO852038 LME852038:LMK852038 LWA852038:LWG852038 MFW852038:MGC852038 MPS852038:MPY852038 MZO852038:MZU852038 NJK852038:NJQ852038 NTG852038:NTM852038 ODC852038:ODI852038 OMY852038:ONE852038 OWU852038:OXA852038 PGQ852038:PGW852038 PQM852038:PQS852038 QAI852038:QAO852038 QKE852038:QKK852038 QUA852038:QUG852038 RDW852038:REC852038 RNS852038:RNY852038 RXO852038:RXU852038 SHK852038:SHQ852038 SRG852038:SRM852038 TBC852038:TBI852038 TKY852038:TLE852038 TUU852038:TVA852038 UEQ852038:UEW852038 UOM852038:UOS852038 UYI852038:UYO852038 VIE852038:VIK852038 VSA852038:VSG852038 WBW852038:WCC852038 WLS852038:WLY852038 WVO852038:WVU852038 G917574:M917574 JC917574:JI917574 SY917574:TE917574 ACU917574:ADA917574 AMQ917574:AMW917574 AWM917574:AWS917574 BGI917574:BGO917574 BQE917574:BQK917574 CAA917574:CAG917574 CJW917574:CKC917574 CTS917574:CTY917574 DDO917574:DDU917574 DNK917574:DNQ917574 DXG917574:DXM917574 EHC917574:EHI917574 EQY917574:ERE917574 FAU917574:FBA917574 FKQ917574:FKW917574 FUM917574:FUS917574 GEI917574:GEO917574 GOE917574:GOK917574 GYA917574:GYG917574 HHW917574:HIC917574 HRS917574:HRY917574 IBO917574:IBU917574 ILK917574:ILQ917574 IVG917574:IVM917574 JFC917574:JFI917574 JOY917574:JPE917574 JYU917574:JZA917574 KIQ917574:KIW917574 KSM917574:KSS917574 LCI917574:LCO917574 LME917574:LMK917574 LWA917574:LWG917574 MFW917574:MGC917574 MPS917574:MPY917574 MZO917574:MZU917574 NJK917574:NJQ917574 NTG917574:NTM917574 ODC917574:ODI917574 OMY917574:ONE917574 OWU917574:OXA917574 PGQ917574:PGW917574 PQM917574:PQS917574 QAI917574:QAO917574 QKE917574:QKK917574 QUA917574:QUG917574 RDW917574:REC917574 RNS917574:RNY917574 RXO917574:RXU917574 SHK917574:SHQ917574 SRG917574:SRM917574 TBC917574:TBI917574 TKY917574:TLE917574 TUU917574:TVA917574 UEQ917574:UEW917574 UOM917574:UOS917574 UYI917574:UYO917574 VIE917574:VIK917574 VSA917574:VSG917574 WBW917574:WCC917574 WLS917574:WLY917574 WVO917574:WVU917574 G983110:M983110 JC983110:JI983110 SY983110:TE983110 ACU983110:ADA983110 AMQ983110:AMW983110 AWM983110:AWS983110 BGI983110:BGO983110 BQE983110:BQK983110 CAA983110:CAG983110 CJW983110:CKC983110 CTS983110:CTY983110 DDO983110:DDU983110 DNK983110:DNQ983110 DXG983110:DXM983110 EHC983110:EHI983110 EQY983110:ERE983110 FAU983110:FBA983110 FKQ983110:FKW983110 FUM983110:FUS983110 GEI983110:GEO983110 GOE983110:GOK983110 GYA983110:GYG983110 HHW983110:HIC983110 HRS983110:HRY983110 IBO983110:IBU983110 ILK983110:ILQ983110 IVG983110:IVM983110 JFC983110:JFI983110 JOY983110:JPE983110 JYU983110:JZA983110 KIQ983110:KIW983110 KSM983110:KSS983110 LCI983110:LCO983110 LME983110:LMK983110 LWA983110:LWG983110 MFW983110:MGC983110 MPS983110:MPY983110 MZO983110:MZU983110 NJK983110:NJQ983110 NTG983110:NTM983110 ODC983110:ODI983110 OMY983110:ONE983110 OWU983110:OXA983110 PGQ983110:PGW983110 PQM983110:PQS983110 QAI983110:QAO983110 QKE983110:QKK983110 QUA983110:QUG983110 RDW983110:REC983110 RNS983110:RNY983110 RXO983110:RXU983110 SHK983110:SHQ983110 SRG983110:SRM983110 TBC983110:TBI983110 TKY983110:TLE983110 TUU983110:TVA983110 UEQ983110:UEW983110 UOM983110:UOS983110 UYI983110:UYO983110 VIE983110:VIK983110 VSA983110:VSG983110 WBW983110:WCC983110 WLS983110:WLY983110 WVO983110:WVU983110 G72:M72 JC72:JI72 SY72:TE72 ACU72:ADA72 AMQ72:AMW72 AWM72:AWS72 BGI72:BGO72 BQE72:BQK72 CAA72:CAG72 CJW72:CKC72 CTS72:CTY72 DDO72:DDU72 DNK72:DNQ72 DXG72:DXM72 EHC72:EHI72 EQY72:ERE72 FAU72:FBA72 FKQ72:FKW72 FUM72:FUS72 GEI72:GEO72 GOE72:GOK72 GYA72:GYG72 HHW72:HIC72 HRS72:HRY72 IBO72:IBU72 ILK72:ILQ72 IVG72:IVM72 JFC72:JFI72 JOY72:JPE72 JYU72:JZA72 KIQ72:KIW72 KSM72:KSS72 LCI72:LCO72 LME72:LMK72 LWA72:LWG72 MFW72:MGC72 MPS72:MPY72 MZO72:MZU72 NJK72:NJQ72 NTG72:NTM72 ODC72:ODI72 OMY72:ONE72 OWU72:OXA72 PGQ72:PGW72 PQM72:PQS72 QAI72:QAO72 QKE72:QKK72 QUA72:QUG72 RDW72:REC72 RNS72:RNY72 RXO72:RXU72 SHK72:SHQ72 SRG72:SRM72 TBC72:TBI72 TKY72:TLE72 TUU72:TVA72 UEQ72:UEW72 UOM72:UOS72 UYI72:UYO72 VIE72:VIK72 VSA72:VSG72 WBW72:WCC72 WLS72:WLY72 WVO72:WVU72 G65608:M65608 JC65608:JI65608 SY65608:TE65608 ACU65608:ADA65608 AMQ65608:AMW65608 AWM65608:AWS65608 BGI65608:BGO65608 BQE65608:BQK65608 CAA65608:CAG65608 CJW65608:CKC65608 CTS65608:CTY65608 DDO65608:DDU65608 DNK65608:DNQ65608 DXG65608:DXM65608 EHC65608:EHI65608 EQY65608:ERE65608 FAU65608:FBA65608 FKQ65608:FKW65608 FUM65608:FUS65608 GEI65608:GEO65608 GOE65608:GOK65608 GYA65608:GYG65608 HHW65608:HIC65608 HRS65608:HRY65608 IBO65608:IBU65608 ILK65608:ILQ65608 IVG65608:IVM65608 JFC65608:JFI65608 JOY65608:JPE65608 JYU65608:JZA65608 KIQ65608:KIW65608 KSM65608:KSS65608 LCI65608:LCO65608 LME65608:LMK65608 LWA65608:LWG65608 MFW65608:MGC65608 MPS65608:MPY65608 MZO65608:MZU65608 NJK65608:NJQ65608 NTG65608:NTM65608 ODC65608:ODI65608 OMY65608:ONE65608 OWU65608:OXA65608 PGQ65608:PGW65608 PQM65608:PQS65608 QAI65608:QAO65608 QKE65608:QKK65608 QUA65608:QUG65608 RDW65608:REC65608 RNS65608:RNY65608 RXO65608:RXU65608 SHK65608:SHQ65608 SRG65608:SRM65608 TBC65608:TBI65608 TKY65608:TLE65608 TUU65608:TVA65608 UEQ65608:UEW65608 UOM65608:UOS65608 UYI65608:UYO65608 VIE65608:VIK65608 VSA65608:VSG65608 WBW65608:WCC65608 WLS65608:WLY65608 WVO65608:WVU65608 G131144:M131144 JC131144:JI131144 SY131144:TE131144 ACU131144:ADA131144 AMQ131144:AMW131144 AWM131144:AWS131144 BGI131144:BGO131144 BQE131144:BQK131144 CAA131144:CAG131144 CJW131144:CKC131144 CTS131144:CTY131144 DDO131144:DDU131144 DNK131144:DNQ131144 DXG131144:DXM131144 EHC131144:EHI131144 EQY131144:ERE131144 FAU131144:FBA131144 FKQ131144:FKW131144 FUM131144:FUS131144 GEI131144:GEO131144 GOE131144:GOK131144 GYA131144:GYG131144 HHW131144:HIC131144 HRS131144:HRY131144 IBO131144:IBU131144 ILK131144:ILQ131144 IVG131144:IVM131144 JFC131144:JFI131144 JOY131144:JPE131144 JYU131144:JZA131144 KIQ131144:KIW131144 KSM131144:KSS131144 LCI131144:LCO131144 LME131144:LMK131144 LWA131144:LWG131144 MFW131144:MGC131144 MPS131144:MPY131144 MZO131144:MZU131144 NJK131144:NJQ131144 NTG131144:NTM131144 ODC131144:ODI131144 OMY131144:ONE131144 OWU131144:OXA131144 PGQ131144:PGW131144 PQM131144:PQS131144 QAI131144:QAO131144 QKE131144:QKK131144 QUA131144:QUG131144 RDW131144:REC131144 RNS131144:RNY131144 RXO131144:RXU131144 SHK131144:SHQ131144 SRG131144:SRM131144 TBC131144:TBI131144 TKY131144:TLE131144 TUU131144:TVA131144 UEQ131144:UEW131144 UOM131144:UOS131144 UYI131144:UYO131144 VIE131144:VIK131144 VSA131144:VSG131144 WBW131144:WCC131144 WLS131144:WLY131144 WVO131144:WVU131144 G196680:M196680 JC196680:JI196680 SY196680:TE196680 ACU196680:ADA196680 AMQ196680:AMW196680 AWM196680:AWS196680 BGI196680:BGO196680 BQE196680:BQK196680 CAA196680:CAG196680 CJW196680:CKC196680 CTS196680:CTY196680 DDO196680:DDU196680 DNK196680:DNQ196680 DXG196680:DXM196680 EHC196680:EHI196680 EQY196680:ERE196680 FAU196680:FBA196680 FKQ196680:FKW196680 FUM196680:FUS196680 GEI196680:GEO196680 GOE196680:GOK196680 GYA196680:GYG196680 HHW196680:HIC196680 HRS196680:HRY196680 IBO196680:IBU196680 ILK196680:ILQ196680 IVG196680:IVM196680 JFC196680:JFI196680 JOY196680:JPE196680 JYU196680:JZA196680 KIQ196680:KIW196680 KSM196680:KSS196680 LCI196680:LCO196680 LME196680:LMK196680 LWA196680:LWG196680 MFW196680:MGC196680 MPS196680:MPY196680 MZO196680:MZU196680 NJK196680:NJQ196680 NTG196680:NTM196680 ODC196680:ODI196680 OMY196680:ONE196680 OWU196680:OXA196680 PGQ196680:PGW196680 PQM196680:PQS196680 QAI196680:QAO196680 QKE196680:QKK196680 QUA196680:QUG196680 RDW196680:REC196680 RNS196680:RNY196680 RXO196680:RXU196680 SHK196680:SHQ196680 SRG196680:SRM196680 TBC196680:TBI196680 TKY196680:TLE196680 TUU196680:TVA196680 UEQ196680:UEW196680 UOM196680:UOS196680 UYI196680:UYO196680 VIE196680:VIK196680 VSA196680:VSG196680 WBW196680:WCC196680 WLS196680:WLY196680 WVO196680:WVU196680 G262216:M262216 JC262216:JI262216 SY262216:TE262216 ACU262216:ADA262216 AMQ262216:AMW262216 AWM262216:AWS262216 BGI262216:BGO262216 BQE262216:BQK262216 CAA262216:CAG262216 CJW262216:CKC262216 CTS262216:CTY262216 DDO262216:DDU262216 DNK262216:DNQ262216 DXG262216:DXM262216 EHC262216:EHI262216 EQY262216:ERE262216 FAU262216:FBA262216 FKQ262216:FKW262216 FUM262216:FUS262216 GEI262216:GEO262216 GOE262216:GOK262216 GYA262216:GYG262216 HHW262216:HIC262216 HRS262216:HRY262216 IBO262216:IBU262216 ILK262216:ILQ262216 IVG262216:IVM262216 JFC262216:JFI262216 JOY262216:JPE262216 JYU262216:JZA262216 KIQ262216:KIW262216 KSM262216:KSS262216 LCI262216:LCO262216 LME262216:LMK262216 LWA262216:LWG262216 MFW262216:MGC262216 MPS262216:MPY262216 MZO262216:MZU262216 NJK262216:NJQ262216 NTG262216:NTM262216 ODC262216:ODI262216 OMY262216:ONE262216 OWU262216:OXA262216 PGQ262216:PGW262216 PQM262216:PQS262216 QAI262216:QAO262216 QKE262216:QKK262216 QUA262216:QUG262216 RDW262216:REC262216 RNS262216:RNY262216 RXO262216:RXU262216 SHK262216:SHQ262216 SRG262216:SRM262216 TBC262216:TBI262216 TKY262216:TLE262216 TUU262216:TVA262216 UEQ262216:UEW262216 UOM262216:UOS262216 UYI262216:UYO262216 VIE262216:VIK262216 VSA262216:VSG262216 WBW262216:WCC262216 WLS262216:WLY262216 WVO262216:WVU262216 G327752:M327752 JC327752:JI327752 SY327752:TE327752 ACU327752:ADA327752 AMQ327752:AMW327752 AWM327752:AWS327752 BGI327752:BGO327752 BQE327752:BQK327752 CAA327752:CAG327752 CJW327752:CKC327752 CTS327752:CTY327752 DDO327752:DDU327752 DNK327752:DNQ327752 DXG327752:DXM327752 EHC327752:EHI327752 EQY327752:ERE327752 FAU327752:FBA327752 FKQ327752:FKW327752 FUM327752:FUS327752 GEI327752:GEO327752 GOE327752:GOK327752 GYA327752:GYG327752 HHW327752:HIC327752 HRS327752:HRY327752 IBO327752:IBU327752 ILK327752:ILQ327752 IVG327752:IVM327752 JFC327752:JFI327752 JOY327752:JPE327752 JYU327752:JZA327752 KIQ327752:KIW327752 KSM327752:KSS327752 LCI327752:LCO327752 LME327752:LMK327752 LWA327752:LWG327752 MFW327752:MGC327752 MPS327752:MPY327752 MZO327752:MZU327752 NJK327752:NJQ327752 NTG327752:NTM327752 ODC327752:ODI327752 OMY327752:ONE327752 OWU327752:OXA327752 PGQ327752:PGW327752 PQM327752:PQS327752 QAI327752:QAO327752 QKE327752:QKK327752 QUA327752:QUG327752 RDW327752:REC327752 RNS327752:RNY327752 RXO327752:RXU327752 SHK327752:SHQ327752 SRG327752:SRM327752 TBC327752:TBI327752 TKY327752:TLE327752 TUU327752:TVA327752 UEQ327752:UEW327752 UOM327752:UOS327752 UYI327752:UYO327752 VIE327752:VIK327752 VSA327752:VSG327752 WBW327752:WCC327752 WLS327752:WLY327752 WVO327752:WVU327752 G393288:M393288 JC393288:JI393288 SY393288:TE393288 ACU393288:ADA393288 AMQ393288:AMW393288 AWM393288:AWS393288 BGI393288:BGO393288 BQE393288:BQK393288 CAA393288:CAG393288 CJW393288:CKC393288 CTS393288:CTY393288 DDO393288:DDU393288 DNK393288:DNQ393288 DXG393288:DXM393288 EHC393288:EHI393288 EQY393288:ERE393288 FAU393288:FBA393288 FKQ393288:FKW393288 FUM393288:FUS393288 GEI393288:GEO393288 GOE393288:GOK393288 GYA393288:GYG393288 HHW393288:HIC393288 HRS393288:HRY393288 IBO393288:IBU393288 ILK393288:ILQ393288 IVG393288:IVM393288 JFC393288:JFI393288 JOY393288:JPE393288 JYU393288:JZA393288 KIQ393288:KIW393288 KSM393288:KSS393288 LCI393288:LCO393288 LME393288:LMK393288 LWA393288:LWG393288 MFW393288:MGC393288 MPS393288:MPY393288 MZO393288:MZU393288 NJK393288:NJQ393288 NTG393288:NTM393288 ODC393288:ODI393288 OMY393288:ONE393288 OWU393288:OXA393288 PGQ393288:PGW393288 PQM393288:PQS393288 QAI393288:QAO393288 QKE393288:QKK393288 QUA393288:QUG393288 RDW393288:REC393288 RNS393288:RNY393288 RXO393288:RXU393288 SHK393288:SHQ393288 SRG393288:SRM393288 TBC393288:TBI393288 TKY393288:TLE393288 TUU393288:TVA393288 UEQ393288:UEW393288 UOM393288:UOS393288 UYI393288:UYO393288 VIE393288:VIK393288 VSA393288:VSG393288 WBW393288:WCC393288 WLS393288:WLY393288 WVO393288:WVU393288 G458824:M458824 JC458824:JI458824 SY458824:TE458824 ACU458824:ADA458824 AMQ458824:AMW458824 AWM458824:AWS458824 BGI458824:BGO458824 BQE458824:BQK458824 CAA458824:CAG458824 CJW458824:CKC458824 CTS458824:CTY458824 DDO458824:DDU458824 DNK458824:DNQ458824 DXG458824:DXM458824 EHC458824:EHI458824 EQY458824:ERE458824 FAU458824:FBA458824 FKQ458824:FKW458824 FUM458824:FUS458824 GEI458824:GEO458824 GOE458824:GOK458824 GYA458824:GYG458824 HHW458824:HIC458824 HRS458824:HRY458824 IBO458824:IBU458824 ILK458824:ILQ458824 IVG458824:IVM458824 JFC458824:JFI458824 JOY458824:JPE458824 JYU458824:JZA458824 KIQ458824:KIW458824 KSM458824:KSS458824 LCI458824:LCO458824 LME458824:LMK458824 LWA458824:LWG458824 MFW458824:MGC458824 MPS458824:MPY458824 MZO458824:MZU458824 NJK458824:NJQ458824 NTG458824:NTM458824 ODC458824:ODI458824 OMY458824:ONE458824 OWU458824:OXA458824 PGQ458824:PGW458824 PQM458824:PQS458824 QAI458824:QAO458824 QKE458824:QKK458824 QUA458824:QUG458824 RDW458824:REC458824 RNS458824:RNY458824 RXO458824:RXU458824 SHK458824:SHQ458824 SRG458824:SRM458824 TBC458824:TBI458824 TKY458824:TLE458824 TUU458824:TVA458824 UEQ458824:UEW458824 UOM458824:UOS458824 UYI458824:UYO458824 VIE458824:VIK458824 VSA458824:VSG458824 WBW458824:WCC458824 WLS458824:WLY458824 WVO458824:WVU458824 G524360:M524360 JC524360:JI524360 SY524360:TE524360 ACU524360:ADA524360 AMQ524360:AMW524360 AWM524360:AWS524360 BGI524360:BGO524360 BQE524360:BQK524360 CAA524360:CAG524360 CJW524360:CKC524360 CTS524360:CTY524360 DDO524360:DDU524360 DNK524360:DNQ524360 DXG524360:DXM524360 EHC524360:EHI524360 EQY524360:ERE524360 FAU524360:FBA524360 FKQ524360:FKW524360 FUM524360:FUS524360 GEI524360:GEO524360 GOE524360:GOK524360 GYA524360:GYG524360 HHW524360:HIC524360 HRS524360:HRY524360 IBO524360:IBU524360 ILK524360:ILQ524360 IVG524360:IVM524360 JFC524360:JFI524360 JOY524360:JPE524360 JYU524360:JZA524360 KIQ524360:KIW524360 KSM524360:KSS524360 LCI524360:LCO524360 LME524360:LMK524360 LWA524360:LWG524360 MFW524360:MGC524360 MPS524360:MPY524360 MZO524360:MZU524360 NJK524360:NJQ524360 NTG524360:NTM524360 ODC524360:ODI524360 OMY524360:ONE524360 OWU524360:OXA524360 PGQ524360:PGW524360 PQM524360:PQS524360 QAI524360:QAO524360 QKE524360:QKK524360 QUA524360:QUG524360 RDW524360:REC524360 RNS524360:RNY524360 RXO524360:RXU524360 SHK524360:SHQ524360 SRG524360:SRM524360 TBC524360:TBI524360 TKY524360:TLE524360 TUU524360:TVA524360 UEQ524360:UEW524360 UOM524360:UOS524360 UYI524360:UYO524360 VIE524360:VIK524360 VSA524360:VSG524360 WBW524360:WCC524360 WLS524360:WLY524360 WVO524360:WVU524360 G589896:M589896 JC589896:JI589896 SY589896:TE589896 ACU589896:ADA589896 AMQ589896:AMW589896 AWM589896:AWS589896 BGI589896:BGO589896 BQE589896:BQK589896 CAA589896:CAG589896 CJW589896:CKC589896 CTS589896:CTY589896 DDO589896:DDU589896 DNK589896:DNQ589896 DXG589896:DXM589896 EHC589896:EHI589896 EQY589896:ERE589896 FAU589896:FBA589896 FKQ589896:FKW589896 FUM589896:FUS589896 GEI589896:GEO589896 GOE589896:GOK589896 GYA589896:GYG589896 HHW589896:HIC589896 HRS589896:HRY589896 IBO589896:IBU589896 ILK589896:ILQ589896 IVG589896:IVM589896 JFC589896:JFI589896 JOY589896:JPE589896 JYU589896:JZA589896 KIQ589896:KIW589896 KSM589896:KSS589896 LCI589896:LCO589896 LME589896:LMK589896 LWA589896:LWG589896 MFW589896:MGC589896 MPS589896:MPY589896 MZO589896:MZU589896 NJK589896:NJQ589896 NTG589896:NTM589896 ODC589896:ODI589896 OMY589896:ONE589896 OWU589896:OXA589896 PGQ589896:PGW589896 PQM589896:PQS589896 QAI589896:QAO589896 QKE589896:QKK589896 QUA589896:QUG589896 RDW589896:REC589896 RNS589896:RNY589896 RXO589896:RXU589896 SHK589896:SHQ589896 SRG589896:SRM589896 TBC589896:TBI589896 TKY589896:TLE589896 TUU589896:TVA589896 UEQ589896:UEW589896 UOM589896:UOS589896 UYI589896:UYO589896 VIE589896:VIK589896 VSA589896:VSG589896 WBW589896:WCC589896 WLS589896:WLY589896 WVO589896:WVU589896 G655432:M655432 JC655432:JI655432 SY655432:TE655432 ACU655432:ADA655432 AMQ655432:AMW655432 AWM655432:AWS655432 BGI655432:BGO655432 BQE655432:BQK655432 CAA655432:CAG655432 CJW655432:CKC655432 CTS655432:CTY655432 DDO655432:DDU655432 DNK655432:DNQ655432 DXG655432:DXM655432 EHC655432:EHI655432 EQY655432:ERE655432 FAU655432:FBA655432 FKQ655432:FKW655432 FUM655432:FUS655432 GEI655432:GEO655432 GOE655432:GOK655432 GYA655432:GYG655432 HHW655432:HIC655432 HRS655432:HRY655432 IBO655432:IBU655432 ILK655432:ILQ655432 IVG655432:IVM655432 JFC655432:JFI655432 JOY655432:JPE655432 JYU655432:JZA655432 KIQ655432:KIW655432 KSM655432:KSS655432 LCI655432:LCO655432 LME655432:LMK655432 LWA655432:LWG655432 MFW655432:MGC655432 MPS655432:MPY655432 MZO655432:MZU655432 NJK655432:NJQ655432 NTG655432:NTM655432 ODC655432:ODI655432 OMY655432:ONE655432 OWU655432:OXA655432 PGQ655432:PGW655432 PQM655432:PQS655432 QAI655432:QAO655432 QKE655432:QKK655432 QUA655432:QUG655432 RDW655432:REC655432 RNS655432:RNY655432 RXO655432:RXU655432 SHK655432:SHQ655432 SRG655432:SRM655432 TBC655432:TBI655432 TKY655432:TLE655432 TUU655432:TVA655432 UEQ655432:UEW655432 UOM655432:UOS655432 UYI655432:UYO655432 VIE655432:VIK655432 VSA655432:VSG655432 WBW655432:WCC655432 WLS655432:WLY655432 WVO655432:WVU655432 G720968:M720968 JC720968:JI720968 SY720968:TE720968 ACU720968:ADA720968 AMQ720968:AMW720968 AWM720968:AWS720968 BGI720968:BGO720968 BQE720968:BQK720968 CAA720968:CAG720968 CJW720968:CKC720968 CTS720968:CTY720968 DDO720968:DDU720968 DNK720968:DNQ720968 DXG720968:DXM720968 EHC720968:EHI720968 EQY720968:ERE720968 FAU720968:FBA720968 FKQ720968:FKW720968 FUM720968:FUS720968 GEI720968:GEO720968 GOE720968:GOK720968 GYA720968:GYG720968 HHW720968:HIC720968 HRS720968:HRY720968 IBO720968:IBU720968 ILK720968:ILQ720968 IVG720968:IVM720968 JFC720968:JFI720968 JOY720968:JPE720968 JYU720968:JZA720968 KIQ720968:KIW720968 KSM720968:KSS720968 LCI720968:LCO720968 LME720968:LMK720968 LWA720968:LWG720968 MFW720968:MGC720968 MPS720968:MPY720968 MZO720968:MZU720968 NJK720968:NJQ720968 NTG720968:NTM720968 ODC720968:ODI720968 OMY720968:ONE720968 OWU720968:OXA720968 PGQ720968:PGW720968 PQM720968:PQS720968 QAI720968:QAO720968 QKE720968:QKK720968 QUA720968:QUG720968 RDW720968:REC720968 RNS720968:RNY720968 RXO720968:RXU720968 SHK720968:SHQ720968 SRG720968:SRM720968 TBC720968:TBI720968 TKY720968:TLE720968 TUU720968:TVA720968 UEQ720968:UEW720968 UOM720968:UOS720968 UYI720968:UYO720968 VIE720968:VIK720968 VSA720968:VSG720968 WBW720968:WCC720968 WLS720968:WLY720968 WVO720968:WVU720968 G786504:M786504 JC786504:JI786504 SY786504:TE786504 ACU786504:ADA786504 AMQ786504:AMW786504 AWM786504:AWS786504 BGI786504:BGO786504 BQE786504:BQK786504 CAA786504:CAG786504 CJW786504:CKC786504 CTS786504:CTY786504 DDO786504:DDU786504 DNK786504:DNQ786504 DXG786504:DXM786504 EHC786504:EHI786504 EQY786504:ERE786504 FAU786504:FBA786504 FKQ786504:FKW786504 FUM786504:FUS786504 GEI786504:GEO786504 GOE786504:GOK786504 GYA786504:GYG786504 HHW786504:HIC786504 HRS786504:HRY786504 IBO786504:IBU786504 ILK786504:ILQ786504 IVG786504:IVM786504 JFC786504:JFI786504 JOY786504:JPE786504 JYU786504:JZA786504 KIQ786504:KIW786504 KSM786504:KSS786504 LCI786504:LCO786504 LME786504:LMK786504 LWA786504:LWG786504 MFW786504:MGC786504 MPS786504:MPY786504 MZO786504:MZU786504 NJK786504:NJQ786504 NTG786504:NTM786504 ODC786504:ODI786504 OMY786504:ONE786504 OWU786504:OXA786504 PGQ786504:PGW786504 PQM786504:PQS786504 QAI786504:QAO786504 QKE786504:QKK786504 QUA786504:QUG786504 RDW786504:REC786504 RNS786504:RNY786504 RXO786504:RXU786504 SHK786504:SHQ786504 SRG786504:SRM786504 TBC786504:TBI786504 TKY786504:TLE786504 TUU786504:TVA786504 UEQ786504:UEW786504 UOM786504:UOS786504 UYI786504:UYO786504 VIE786504:VIK786504 VSA786504:VSG786504 WBW786504:WCC786504 WLS786504:WLY786504 WVO786504:WVU786504 G852040:M852040 JC852040:JI852040 SY852040:TE852040 ACU852040:ADA852040 AMQ852040:AMW852040 AWM852040:AWS852040 BGI852040:BGO852040 BQE852040:BQK852040 CAA852040:CAG852040 CJW852040:CKC852040 CTS852040:CTY852040 DDO852040:DDU852040 DNK852040:DNQ852040 DXG852040:DXM852040 EHC852040:EHI852040 EQY852040:ERE852040 FAU852040:FBA852040 FKQ852040:FKW852040 FUM852040:FUS852040 GEI852040:GEO852040 GOE852040:GOK852040 GYA852040:GYG852040 HHW852040:HIC852040 HRS852040:HRY852040 IBO852040:IBU852040 ILK852040:ILQ852040 IVG852040:IVM852040 JFC852040:JFI852040 JOY852040:JPE852040 JYU852040:JZA852040 KIQ852040:KIW852040 KSM852040:KSS852040 LCI852040:LCO852040 LME852040:LMK852040 LWA852040:LWG852040 MFW852040:MGC852040 MPS852040:MPY852040 MZO852040:MZU852040 NJK852040:NJQ852040 NTG852040:NTM852040 ODC852040:ODI852040 OMY852040:ONE852040 OWU852040:OXA852040 PGQ852040:PGW852040 PQM852040:PQS852040 QAI852040:QAO852040 QKE852040:QKK852040 QUA852040:QUG852040 RDW852040:REC852040 RNS852040:RNY852040 RXO852040:RXU852040 SHK852040:SHQ852040 SRG852040:SRM852040 TBC852040:TBI852040 TKY852040:TLE852040 TUU852040:TVA852040 UEQ852040:UEW852040 UOM852040:UOS852040 UYI852040:UYO852040 VIE852040:VIK852040 VSA852040:VSG852040 WBW852040:WCC852040 WLS852040:WLY852040 WVO852040:WVU852040 G917576:M917576 JC917576:JI917576 SY917576:TE917576 ACU917576:ADA917576 AMQ917576:AMW917576 AWM917576:AWS917576 BGI917576:BGO917576 BQE917576:BQK917576 CAA917576:CAG917576 CJW917576:CKC917576 CTS917576:CTY917576 DDO917576:DDU917576 DNK917576:DNQ917576 DXG917576:DXM917576 EHC917576:EHI917576 EQY917576:ERE917576 FAU917576:FBA917576 FKQ917576:FKW917576 FUM917576:FUS917576 GEI917576:GEO917576 GOE917576:GOK917576 GYA917576:GYG917576 HHW917576:HIC917576 HRS917576:HRY917576 IBO917576:IBU917576 ILK917576:ILQ917576 IVG917576:IVM917576 JFC917576:JFI917576 JOY917576:JPE917576 JYU917576:JZA917576 KIQ917576:KIW917576 KSM917576:KSS917576 LCI917576:LCO917576 LME917576:LMK917576 LWA917576:LWG917576 MFW917576:MGC917576 MPS917576:MPY917576 MZO917576:MZU917576 NJK917576:NJQ917576 NTG917576:NTM917576 ODC917576:ODI917576 OMY917576:ONE917576 OWU917576:OXA917576 PGQ917576:PGW917576 PQM917576:PQS917576 QAI917576:QAO917576 QKE917576:QKK917576 QUA917576:QUG917576 RDW917576:REC917576 RNS917576:RNY917576 RXO917576:RXU917576 SHK917576:SHQ917576 SRG917576:SRM917576 TBC917576:TBI917576 TKY917576:TLE917576 TUU917576:TVA917576 UEQ917576:UEW917576 UOM917576:UOS917576 UYI917576:UYO917576 VIE917576:VIK917576 VSA917576:VSG917576 WBW917576:WCC917576 WLS917576:WLY917576 WVO917576:WVU917576 G983112:M983112 JC983112:JI983112 SY983112:TE983112 ACU983112:ADA983112 AMQ983112:AMW983112 AWM983112:AWS983112 BGI983112:BGO983112 BQE983112:BQK983112 CAA983112:CAG983112 CJW983112:CKC983112 CTS983112:CTY983112 DDO983112:DDU983112 DNK983112:DNQ983112 DXG983112:DXM983112 EHC983112:EHI983112 EQY983112:ERE983112 FAU983112:FBA983112 FKQ983112:FKW983112 FUM983112:FUS983112 GEI983112:GEO983112 GOE983112:GOK983112 GYA983112:GYG983112 HHW983112:HIC983112 HRS983112:HRY983112 IBO983112:IBU983112 ILK983112:ILQ983112 IVG983112:IVM983112 JFC983112:JFI983112 JOY983112:JPE983112 JYU983112:JZA983112 KIQ983112:KIW983112 KSM983112:KSS983112 LCI983112:LCO983112 LME983112:LMK983112 LWA983112:LWG983112 MFW983112:MGC983112 MPS983112:MPY983112 MZO983112:MZU983112 NJK983112:NJQ983112 NTG983112:NTM983112 ODC983112:ODI983112 OMY983112:ONE983112 OWU983112:OXA983112 PGQ983112:PGW983112 PQM983112:PQS983112 QAI983112:QAO983112 QKE983112:QKK983112 QUA983112:QUG983112 RDW983112:REC983112 RNS983112:RNY983112 RXO983112:RXU983112 SHK983112:SHQ983112 SRG983112:SRM983112 TBC983112:TBI983112 TKY983112:TLE983112 TUU983112:TVA983112 UEQ983112:UEW983112 UOM983112:UOS983112 UYI983112:UYO983112 VIE983112:VIK983112 VSA983112:VSG983112 WBW983112:WCC983112 WLS983112:WLY983112 WVO983112:WVU983112 Q22:Q23 JM22:JM23 TI22:TI23 ADE22:ADE23 ANA22:ANA23 AWW22:AWW23 BGS22:BGS23 BQO22:BQO23 CAK22:CAK23 CKG22:CKG23 CUC22:CUC23 DDY22:DDY23 DNU22:DNU23 DXQ22:DXQ23 EHM22:EHM23 ERI22:ERI23 FBE22:FBE23 FLA22:FLA23 FUW22:FUW23 GES22:GES23 GOO22:GOO23 GYK22:GYK23 HIG22:HIG23 HSC22:HSC23 IBY22:IBY23 ILU22:ILU23 IVQ22:IVQ23 JFM22:JFM23 JPI22:JPI23 JZE22:JZE23 KJA22:KJA23 KSW22:KSW23 LCS22:LCS23 LMO22:LMO23 LWK22:LWK23 MGG22:MGG23 MQC22:MQC23 MZY22:MZY23 NJU22:NJU23 NTQ22:NTQ23 ODM22:ODM23 ONI22:ONI23 OXE22:OXE23 PHA22:PHA23 PQW22:PQW23 QAS22:QAS23 QKO22:QKO23 QUK22:QUK23 REG22:REG23 ROC22:ROC23 RXY22:RXY23 SHU22:SHU23 SRQ22:SRQ23 TBM22:TBM23 TLI22:TLI23 TVE22:TVE23 UFA22:UFA23 UOW22:UOW23 UYS22:UYS23 VIO22:VIO23 VSK22:VSK23 WCG22:WCG23 WMC22:WMC23 WVY22:WVY23 Q65558:Q65559 JM65558:JM65559 TI65558:TI65559 ADE65558:ADE65559 ANA65558:ANA65559 AWW65558:AWW65559 BGS65558:BGS65559 BQO65558:BQO65559 CAK65558:CAK65559 CKG65558:CKG65559 CUC65558:CUC65559 DDY65558:DDY65559 DNU65558:DNU65559 DXQ65558:DXQ65559 EHM65558:EHM65559 ERI65558:ERI65559 FBE65558:FBE65559 FLA65558:FLA65559 FUW65558:FUW65559 GES65558:GES65559 GOO65558:GOO65559 GYK65558:GYK65559 HIG65558:HIG65559 HSC65558:HSC65559 IBY65558:IBY65559 ILU65558:ILU65559 IVQ65558:IVQ65559 JFM65558:JFM65559 JPI65558:JPI65559 JZE65558:JZE65559 KJA65558:KJA65559 KSW65558:KSW65559 LCS65558:LCS65559 LMO65558:LMO65559 LWK65558:LWK65559 MGG65558:MGG65559 MQC65558:MQC65559 MZY65558:MZY65559 NJU65558:NJU65559 NTQ65558:NTQ65559 ODM65558:ODM65559 ONI65558:ONI65559 OXE65558:OXE65559 PHA65558:PHA65559 PQW65558:PQW65559 QAS65558:QAS65559 QKO65558:QKO65559 QUK65558:QUK65559 REG65558:REG65559 ROC65558:ROC65559 RXY65558:RXY65559 SHU65558:SHU65559 SRQ65558:SRQ65559 TBM65558:TBM65559 TLI65558:TLI65559 TVE65558:TVE65559 UFA65558:UFA65559 UOW65558:UOW65559 UYS65558:UYS65559 VIO65558:VIO65559 VSK65558:VSK65559 WCG65558:WCG65559 WMC65558:WMC65559 WVY65558:WVY65559 Q131094:Q131095 JM131094:JM131095 TI131094:TI131095 ADE131094:ADE131095 ANA131094:ANA131095 AWW131094:AWW131095 BGS131094:BGS131095 BQO131094:BQO131095 CAK131094:CAK131095 CKG131094:CKG131095 CUC131094:CUC131095 DDY131094:DDY131095 DNU131094:DNU131095 DXQ131094:DXQ131095 EHM131094:EHM131095 ERI131094:ERI131095 FBE131094:FBE131095 FLA131094:FLA131095 FUW131094:FUW131095 GES131094:GES131095 GOO131094:GOO131095 GYK131094:GYK131095 HIG131094:HIG131095 HSC131094:HSC131095 IBY131094:IBY131095 ILU131094:ILU131095 IVQ131094:IVQ131095 JFM131094:JFM131095 JPI131094:JPI131095 JZE131094:JZE131095 KJA131094:KJA131095 KSW131094:KSW131095 LCS131094:LCS131095 LMO131094:LMO131095 LWK131094:LWK131095 MGG131094:MGG131095 MQC131094:MQC131095 MZY131094:MZY131095 NJU131094:NJU131095 NTQ131094:NTQ131095 ODM131094:ODM131095 ONI131094:ONI131095 OXE131094:OXE131095 PHA131094:PHA131095 PQW131094:PQW131095 QAS131094:QAS131095 QKO131094:QKO131095 QUK131094:QUK131095 REG131094:REG131095 ROC131094:ROC131095 RXY131094:RXY131095 SHU131094:SHU131095 SRQ131094:SRQ131095 TBM131094:TBM131095 TLI131094:TLI131095 TVE131094:TVE131095 UFA131094:UFA131095 UOW131094:UOW131095 UYS131094:UYS131095 VIO131094:VIO131095 VSK131094:VSK131095 WCG131094:WCG131095 WMC131094:WMC131095 WVY131094:WVY131095 Q196630:Q196631 JM196630:JM196631 TI196630:TI196631 ADE196630:ADE196631 ANA196630:ANA196631 AWW196630:AWW196631 BGS196630:BGS196631 BQO196630:BQO196631 CAK196630:CAK196631 CKG196630:CKG196631 CUC196630:CUC196631 DDY196630:DDY196631 DNU196630:DNU196631 DXQ196630:DXQ196631 EHM196630:EHM196631 ERI196630:ERI196631 FBE196630:FBE196631 FLA196630:FLA196631 FUW196630:FUW196631 GES196630:GES196631 GOO196630:GOO196631 GYK196630:GYK196631 HIG196630:HIG196631 HSC196630:HSC196631 IBY196630:IBY196631 ILU196630:ILU196631 IVQ196630:IVQ196631 JFM196630:JFM196631 JPI196630:JPI196631 JZE196630:JZE196631 KJA196630:KJA196631 KSW196630:KSW196631 LCS196630:LCS196631 LMO196630:LMO196631 LWK196630:LWK196631 MGG196630:MGG196631 MQC196630:MQC196631 MZY196630:MZY196631 NJU196630:NJU196631 NTQ196630:NTQ196631 ODM196630:ODM196631 ONI196630:ONI196631 OXE196630:OXE196631 PHA196630:PHA196631 PQW196630:PQW196631 QAS196630:QAS196631 QKO196630:QKO196631 QUK196630:QUK196631 REG196630:REG196631 ROC196630:ROC196631 RXY196630:RXY196631 SHU196630:SHU196631 SRQ196630:SRQ196631 TBM196630:TBM196631 TLI196630:TLI196631 TVE196630:TVE196631 UFA196630:UFA196631 UOW196630:UOW196631 UYS196630:UYS196631 VIO196630:VIO196631 VSK196630:VSK196631 WCG196630:WCG196631 WMC196630:WMC196631 WVY196630:WVY196631 Q262166:Q262167 JM262166:JM262167 TI262166:TI262167 ADE262166:ADE262167 ANA262166:ANA262167 AWW262166:AWW262167 BGS262166:BGS262167 BQO262166:BQO262167 CAK262166:CAK262167 CKG262166:CKG262167 CUC262166:CUC262167 DDY262166:DDY262167 DNU262166:DNU262167 DXQ262166:DXQ262167 EHM262166:EHM262167 ERI262166:ERI262167 FBE262166:FBE262167 FLA262166:FLA262167 FUW262166:FUW262167 GES262166:GES262167 GOO262166:GOO262167 GYK262166:GYK262167 HIG262166:HIG262167 HSC262166:HSC262167 IBY262166:IBY262167 ILU262166:ILU262167 IVQ262166:IVQ262167 JFM262166:JFM262167 JPI262166:JPI262167 JZE262166:JZE262167 KJA262166:KJA262167 KSW262166:KSW262167 LCS262166:LCS262167 LMO262166:LMO262167 LWK262166:LWK262167 MGG262166:MGG262167 MQC262166:MQC262167 MZY262166:MZY262167 NJU262166:NJU262167 NTQ262166:NTQ262167 ODM262166:ODM262167 ONI262166:ONI262167 OXE262166:OXE262167 PHA262166:PHA262167 PQW262166:PQW262167 QAS262166:QAS262167 QKO262166:QKO262167 QUK262166:QUK262167 REG262166:REG262167 ROC262166:ROC262167 RXY262166:RXY262167 SHU262166:SHU262167 SRQ262166:SRQ262167 TBM262166:TBM262167 TLI262166:TLI262167 TVE262166:TVE262167 UFA262166:UFA262167 UOW262166:UOW262167 UYS262166:UYS262167 VIO262166:VIO262167 VSK262166:VSK262167 WCG262166:WCG262167 WMC262166:WMC262167 WVY262166:WVY262167 Q327702:Q327703 JM327702:JM327703 TI327702:TI327703 ADE327702:ADE327703 ANA327702:ANA327703 AWW327702:AWW327703 BGS327702:BGS327703 BQO327702:BQO327703 CAK327702:CAK327703 CKG327702:CKG327703 CUC327702:CUC327703 DDY327702:DDY327703 DNU327702:DNU327703 DXQ327702:DXQ327703 EHM327702:EHM327703 ERI327702:ERI327703 FBE327702:FBE327703 FLA327702:FLA327703 FUW327702:FUW327703 GES327702:GES327703 GOO327702:GOO327703 GYK327702:GYK327703 HIG327702:HIG327703 HSC327702:HSC327703 IBY327702:IBY327703 ILU327702:ILU327703 IVQ327702:IVQ327703 JFM327702:JFM327703 JPI327702:JPI327703 JZE327702:JZE327703 KJA327702:KJA327703 KSW327702:KSW327703 LCS327702:LCS327703 LMO327702:LMO327703 LWK327702:LWK327703 MGG327702:MGG327703 MQC327702:MQC327703 MZY327702:MZY327703 NJU327702:NJU327703 NTQ327702:NTQ327703 ODM327702:ODM327703 ONI327702:ONI327703 OXE327702:OXE327703 PHA327702:PHA327703 PQW327702:PQW327703 QAS327702:QAS327703 QKO327702:QKO327703 QUK327702:QUK327703 REG327702:REG327703 ROC327702:ROC327703 RXY327702:RXY327703 SHU327702:SHU327703 SRQ327702:SRQ327703 TBM327702:TBM327703 TLI327702:TLI327703 TVE327702:TVE327703 UFA327702:UFA327703 UOW327702:UOW327703 UYS327702:UYS327703 VIO327702:VIO327703 VSK327702:VSK327703 WCG327702:WCG327703 WMC327702:WMC327703 WVY327702:WVY327703 Q393238:Q393239 JM393238:JM393239 TI393238:TI393239 ADE393238:ADE393239 ANA393238:ANA393239 AWW393238:AWW393239 BGS393238:BGS393239 BQO393238:BQO393239 CAK393238:CAK393239 CKG393238:CKG393239 CUC393238:CUC393239 DDY393238:DDY393239 DNU393238:DNU393239 DXQ393238:DXQ393239 EHM393238:EHM393239 ERI393238:ERI393239 FBE393238:FBE393239 FLA393238:FLA393239 FUW393238:FUW393239 GES393238:GES393239 GOO393238:GOO393239 GYK393238:GYK393239 HIG393238:HIG393239 HSC393238:HSC393239 IBY393238:IBY393239 ILU393238:ILU393239 IVQ393238:IVQ393239 JFM393238:JFM393239 JPI393238:JPI393239 JZE393238:JZE393239 KJA393238:KJA393239 KSW393238:KSW393239 LCS393238:LCS393239 LMO393238:LMO393239 LWK393238:LWK393239 MGG393238:MGG393239 MQC393238:MQC393239 MZY393238:MZY393239 NJU393238:NJU393239 NTQ393238:NTQ393239 ODM393238:ODM393239 ONI393238:ONI393239 OXE393238:OXE393239 PHA393238:PHA393239 PQW393238:PQW393239 QAS393238:QAS393239 QKO393238:QKO393239 QUK393238:QUK393239 REG393238:REG393239 ROC393238:ROC393239 RXY393238:RXY393239 SHU393238:SHU393239 SRQ393238:SRQ393239 TBM393238:TBM393239 TLI393238:TLI393239 TVE393238:TVE393239 UFA393238:UFA393239 UOW393238:UOW393239 UYS393238:UYS393239 VIO393238:VIO393239 VSK393238:VSK393239 WCG393238:WCG393239 WMC393238:WMC393239 WVY393238:WVY393239 Q458774:Q458775 JM458774:JM458775 TI458774:TI458775 ADE458774:ADE458775 ANA458774:ANA458775 AWW458774:AWW458775 BGS458774:BGS458775 BQO458774:BQO458775 CAK458774:CAK458775 CKG458774:CKG458775 CUC458774:CUC458775 DDY458774:DDY458775 DNU458774:DNU458775 DXQ458774:DXQ458775 EHM458774:EHM458775 ERI458774:ERI458775 FBE458774:FBE458775 FLA458774:FLA458775 FUW458774:FUW458775 GES458774:GES458775 GOO458774:GOO458775 GYK458774:GYK458775 HIG458774:HIG458775 HSC458774:HSC458775 IBY458774:IBY458775 ILU458774:ILU458775 IVQ458774:IVQ458775 JFM458774:JFM458775 JPI458774:JPI458775 JZE458774:JZE458775 KJA458774:KJA458775 KSW458774:KSW458775 LCS458774:LCS458775 LMO458774:LMO458775 LWK458774:LWK458775 MGG458774:MGG458775 MQC458774:MQC458775 MZY458774:MZY458775 NJU458774:NJU458775 NTQ458774:NTQ458775 ODM458774:ODM458775 ONI458774:ONI458775 OXE458774:OXE458775 PHA458774:PHA458775 PQW458774:PQW458775 QAS458774:QAS458775 QKO458774:QKO458775 QUK458774:QUK458775 REG458774:REG458775 ROC458774:ROC458775 RXY458774:RXY458775 SHU458774:SHU458775 SRQ458774:SRQ458775 TBM458774:TBM458775 TLI458774:TLI458775 TVE458774:TVE458775 UFA458774:UFA458775 UOW458774:UOW458775 UYS458774:UYS458775 VIO458774:VIO458775 VSK458774:VSK458775 WCG458774:WCG458775 WMC458774:WMC458775 WVY458774:WVY458775 Q524310:Q524311 JM524310:JM524311 TI524310:TI524311 ADE524310:ADE524311 ANA524310:ANA524311 AWW524310:AWW524311 BGS524310:BGS524311 BQO524310:BQO524311 CAK524310:CAK524311 CKG524310:CKG524311 CUC524310:CUC524311 DDY524310:DDY524311 DNU524310:DNU524311 DXQ524310:DXQ524311 EHM524310:EHM524311 ERI524310:ERI524311 FBE524310:FBE524311 FLA524310:FLA524311 FUW524310:FUW524311 GES524310:GES524311 GOO524310:GOO524311 GYK524310:GYK524311 HIG524310:HIG524311 HSC524310:HSC524311 IBY524310:IBY524311 ILU524310:ILU524311 IVQ524310:IVQ524311 JFM524310:JFM524311 JPI524310:JPI524311 JZE524310:JZE524311 KJA524310:KJA524311 KSW524310:KSW524311 LCS524310:LCS524311 LMO524310:LMO524311 LWK524310:LWK524311 MGG524310:MGG524311 MQC524310:MQC524311 MZY524310:MZY524311 NJU524310:NJU524311 NTQ524310:NTQ524311 ODM524310:ODM524311 ONI524310:ONI524311 OXE524310:OXE524311 PHA524310:PHA524311 PQW524310:PQW524311 QAS524310:QAS524311 QKO524310:QKO524311 QUK524310:QUK524311 REG524310:REG524311 ROC524310:ROC524311 RXY524310:RXY524311 SHU524310:SHU524311 SRQ524310:SRQ524311 TBM524310:TBM524311 TLI524310:TLI524311 TVE524310:TVE524311 UFA524310:UFA524311 UOW524310:UOW524311 UYS524310:UYS524311 VIO524310:VIO524311 VSK524310:VSK524311 WCG524310:WCG524311 WMC524310:WMC524311 WVY524310:WVY524311 Q589846:Q589847 JM589846:JM589847 TI589846:TI589847 ADE589846:ADE589847 ANA589846:ANA589847 AWW589846:AWW589847 BGS589846:BGS589847 BQO589846:BQO589847 CAK589846:CAK589847 CKG589846:CKG589847 CUC589846:CUC589847 DDY589846:DDY589847 DNU589846:DNU589847 DXQ589846:DXQ589847 EHM589846:EHM589847 ERI589846:ERI589847 FBE589846:FBE589847 FLA589846:FLA589847 FUW589846:FUW589847 GES589846:GES589847 GOO589846:GOO589847 GYK589846:GYK589847 HIG589846:HIG589847 HSC589846:HSC589847 IBY589846:IBY589847 ILU589846:ILU589847 IVQ589846:IVQ589847 JFM589846:JFM589847 JPI589846:JPI589847 JZE589846:JZE589847 KJA589846:KJA589847 KSW589846:KSW589847 LCS589846:LCS589847 LMO589846:LMO589847 LWK589846:LWK589847 MGG589846:MGG589847 MQC589846:MQC589847 MZY589846:MZY589847 NJU589846:NJU589847 NTQ589846:NTQ589847 ODM589846:ODM589847 ONI589846:ONI589847 OXE589846:OXE589847 PHA589846:PHA589847 PQW589846:PQW589847 QAS589846:QAS589847 QKO589846:QKO589847 QUK589846:QUK589847 REG589846:REG589847 ROC589846:ROC589847 RXY589846:RXY589847 SHU589846:SHU589847 SRQ589846:SRQ589847 TBM589846:TBM589847 TLI589846:TLI589847 TVE589846:TVE589847 UFA589846:UFA589847 UOW589846:UOW589847 UYS589846:UYS589847 VIO589846:VIO589847 VSK589846:VSK589847 WCG589846:WCG589847 WMC589846:WMC589847 WVY589846:WVY589847 Q655382:Q655383 JM655382:JM655383 TI655382:TI655383 ADE655382:ADE655383 ANA655382:ANA655383 AWW655382:AWW655383 BGS655382:BGS655383 BQO655382:BQO655383 CAK655382:CAK655383 CKG655382:CKG655383 CUC655382:CUC655383 DDY655382:DDY655383 DNU655382:DNU655383 DXQ655382:DXQ655383 EHM655382:EHM655383 ERI655382:ERI655383 FBE655382:FBE655383 FLA655382:FLA655383 FUW655382:FUW655383 GES655382:GES655383 GOO655382:GOO655383 GYK655382:GYK655383 HIG655382:HIG655383 HSC655382:HSC655383 IBY655382:IBY655383 ILU655382:ILU655383 IVQ655382:IVQ655383 JFM655382:JFM655383 JPI655382:JPI655383 JZE655382:JZE655383 KJA655382:KJA655383 KSW655382:KSW655383 LCS655382:LCS655383 LMO655382:LMO655383 LWK655382:LWK655383 MGG655382:MGG655383 MQC655382:MQC655383 MZY655382:MZY655383 NJU655382:NJU655383 NTQ655382:NTQ655383 ODM655382:ODM655383 ONI655382:ONI655383 OXE655382:OXE655383 PHA655382:PHA655383 PQW655382:PQW655383 QAS655382:QAS655383 QKO655382:QKO655383 QUK655382:QUK655383 REG655382:REG655383 ROC655382:ROC655383 RXY655382:RXY655383 SHU655382:SHU655383 SRQ655382:SRQ655383 TBM655382:TBM655383 TLI655382:TLI655383 TVE655382:TVE655383 UFA655382:UFA655383 UOW655382:UOW655383 UYS655382:UYS655383 VIO655382:VIO655383 VSK655382:VSK655383 WCG655382:WCG655383 WMC655382:WMC655383 WVY655382:WVY655383 Q720918:Q720919 JM720918:JM720919 TI720918:TI720919 ADE720918:ADE720919 ANA720918:ANA720919 AWW720918:AWW720919 BGS720918:BGS720919 BQO720918:BQO720919 CAK720918:CAK720919 CKG720918:CKG720919 CUC720918:CUC720919 DDY720918:DDY720919 DNU720918:DNU720919 DXQ720918:DXQ720919 EHM720918:EHM720919 ERI720918:ERI720919 FBE720918:FBE720919 FLA720918:FLA720919 FUW720918:FUW720919 GES720918:GES720919 GOO720918:GOO720919 GYK720918:GYK720919 HIG720918:HIG720919 HSC720918:HSC720919 IBY720918:IBY720919 ILU720918:ILU720919 IVQ720918:IVQ720919 JFM720918:JFM720919 JPI720918:JPI720919 JZE720918:JZE720919 KJA720918:KJA720919 KSW720918:KSW720919 LCS720918:LCS720919 LMO720918:LMO720919 LWK720918:LWK720919 MGG720918:MGG720919 MQC720918:MQC720919 MZY720918:MZY720919 NJU720918:NJU720919 NTQ720918:NTQ720919 ODM720918:ODM720919 ONI720918:ONI720919 OXE720918:OXE720919 PHA720918:PHA720919 PQW720918:PQW720919 QAS720918:QAS720919 QKO720918:QKO720919 QUK720918:QUK720919 REG720918:REG720919 ROC720918:ROC720919 RXY720918:RXY720919 SHU720918:SHU720919 SRQ720918:SRQ720919 TBM720918:TBM720919 TLI720918:TLI720919 TVE720918:TVE720919 UFA720918:UFA720919 UOW720918:UOW720919 UYS720918:UYS720919 VIO720918:VIO720919 VSK720918:VSK720919 WCG720918:WCG720919 WMC720918:WMC720919 WVY720918:WVY720919 Q786454:Q786455 JM786454:JM786455 TI786454:TI786455 ADE786454:ADE786455 ANA786454:ANA786455 AWW786454:AWW786455 BGS786454:BGS786455 BQO786454:BQO786455 CAK786454:CAK786455 CKG786454:CKG786455 CUC786454:CUC786455 DDY786454:DDY786455 DNU786454:DNU786455 DXQ786454:DXQ786455 EHM786454:EHM786455 ERI786454:ERI786455 FBE786454:FBE786455 FLA786454:FLA786455 FUW786454:FUW786455 GES786454:GES786455 GOO786454:GOO786455 GYK786454:GYK786455 HIG786454:HIG786455 HSC786454:HSC786455 IBY786454:IBY786455 ILU786454:ILU786455 IVQ786454:IVQ786455 JFM786454:JFM786455 JPI786454:JPI786455 JZE786454:JZE786455 KJA786454:KJA786455 KSW786454:KSW786455 LCS786454:LCS786455 LMO786454:LMO786455 LWK786454:LWK786455 MGG786454:MGG786455 MQC786454:MQC786455 MZY786454:MZY786455 NJU786454:NJU786455 NTQ786454:NTQ786455 ODM786454:ODM786455 ONI786454:ONI786455 OXE786454:OXE786455 PHA786454:PHA786455 PQW786454:PQW786455 QAS786454:QAS786455 QKO786454:QKO786455 QUK786454:QUK786455 REG786454:REG786455 ROC786454:ROC786455 RXY786454:RXY786455 SHU786454:SHU786455 SRQ786454:SRQ786455 TBM786454:TBM786455 TLI786454:TLI786455 TVE786454:TVE786455 UFA786454:UFA786455 UOW786454:UOW786455 UYS786454:UYS786455 VIO786454:VIO786455 VSK786454:VSK786455 WCG786454:WCG786455 WMC786454:WMC786455 WVY786454:WVY786455 Q851990:Q851991 JM851990:JM851991 TI851990:TI851991 ADE851990:ADE851991 ANA851990:ANA851991 AWW851990:AWW851991 BGS851990:BGS851991 BQO851990:BQO851991 CAK851990:CAK851991 CKG851990:CKG851991 CUC851990:CUC851991 DDY851990:DDY851991 DNU851990:DNU851991 DXQ851990:DXQ851991 EHM851990:EHM851991 ERI851990:ERI851991 FBE851990:FBE851991 FLA851990:FLA851991 FUW851990:FUW851991 GES851990:GES851991 GOO851990:GOO851991 GYK851990:GYK851991 HIG851990:HIG851991 HSC851990:HSC851991 IBY851990:IBY851991 ILU851990:ILU851991 IVQ851990:IVQ851991 JFM851990:JFM851991 JPI851990:JPI851991 JZE851990:JZE851991 KJA851990:KJA851991 KSW851990:KSW851991 LCS851990:LCS851991 LMO851990:LMO851991 LWK851990:LWK851991 MGG851990:MGG851991 MQC851990:MQC851991 MZY851990:MZY851991 NJU851990:NJU851991 NTQ851990:NTQ851991 ODM851990:ODM851991 ONI851990:ONI851991 OXE851990:OXE851991 PHA851990:PHA851991 PQW851990:PQW851991 QAS851990:QAS851991 QKO851990:QKO851991 QUK851990:QUK851991 REG851990:REG851991 ROC851990:ROC851991 RXY851990:RXY851991 SHU851990:SHU851991 SRQ851990:SRQ851991 TBM851990:TBM851991 TLI851990:TLI851991 TVE851990:TVE851991 UFA851990:UFA851991 UOW851990:UOW851991 UYS851990:UYS851991 VIO851990:VIO851991 VSK851990:VSK851991 WCG851990:WCG851991 WMC851990:WMC851991 WVY851990:WVY851991 Q917526:Q917527 JM917526:JM917527 TI917526:TI917527 ADE917526:ADE917527 ANA917526:ANA917527 AWW917526:AWW917527 BGS917526:BGS917527 BQO917526:BQO917527 CAK917526:CAK917527 CKG917526:CKG917527 CUC917526:CUC917527 DDY917526:DDY917527 DNU917526:DNU917527 DXQ917526:DXQ917527 EHM917526:EHM917527 ERI917526:ERI917527 FBE917526:FBE917527 FLA917526:FLA917527 FUW917526:FUW917527 GES917526:GES917527 GOO917526:GOO917527 GYK917526:GYK917527 HIG917526:HIG917527 HSC917526:HSC917527 IBY917526:IBY917527 ILU917526:ILU917527 IVQ917526:IVQ917527 JFM917526:JFM917527 JPI917526:JPI917527 JZE917526:JZE917527 KJA917526:KJA917527 KSW917526:KSW917527 LCS917526:LCS917527 LMO917526:LMO917527 LWK917526:LWK917527 MGG917526:MGG917527 MQC917526:MQC917527 MZY917526:MZY917527 NJU917526:NJU917527 NTQ917526:NTQ917527 ODM917526:ODM917527 ONI917526:ONI917527 OXE917526:OXE917527 PHA917526:PHA917527 PQW917526:PQW917527 QAS917526:QAS917527 QKO917526:QKO917527 QUK917526:QUK917527 REG917526:REG917527 ROC917526:ROC917527 RXY917526:RXY917527 SHU917526:SHU917527 SRQ917526:SRQ917527 TBM917526:TBM917527 TLI917526:TLI917527 TVE917526:TVE917527 UFA917526:UFA917527 UOW917526:UOW917527 UYS917526:UYS917527 VIO917526:VIO917527 VSK917526:VSK917527 WCG917526:WCG917527 WMC917526:WMC917527 WVY917526:WVY917527 Q983062:Q983063 JM983062:JM983063 TI983062:TI983063 ADE983062:ADE983063 ANA983062:ANA983063 AWW983062:AWW983063 BGS983062:BGS983063 BQO983062:BQO983063 CAK983062:CAK983063 CKG983062:CKG983063 CUC983062:CUC983063 DDY983062:DDY983063 DNU983062:DNU983063 DXQ983062:DXQ983063 EHM983062:EHM983063 ERI983062:ERI983063 FBE983062:FBE983063 FLA983062:FLA983063 FUW983062:FUW983063 GES983062:GES983063 GOO983062:GOO983063 GYK983062:GYK983063 HIG983062:HIG983063 HSC983062:HSC983063 IBY983062:IBY983063 ILU983062:ILU983063 IVQ983062:IVQ983063 JFM983062:JFM983063 JPI983062:JPI983063 JZE983062:JZE983063 KJA983062:KJA983063 KSW983062:KSW983063 LCS983062:LCS983063 LMO983062:LMO983063 LWK983062:LWK983063 MGG983062:MGG983063 MQC983062:MQC983063 MZY983062:MZY983063 NJU983062:NJU983063 NTQ983062:NTQ983063 ODM983062:ODM983063 ONI983062:ONI983063 OXE983062:OXE983063 PHA983062:PHA983063 PQW983062:PQW983063 QAS983062:QAS983063 QKO983062:QKO983063 QUK983062:QUK983063 REG983062:REG983063 ROC983062:ROC983063 RXY983062:RXY983063 SHU983062:SHU983063 SRQ983062:SRQ983063 TBM983062:TBM983063 TLI983062:TLI983063 TVE983062:TVE983063 UFA983062:UFA983063 UOW983062:UOW983063 UYS983062:UYS983063 VIO983062:VIO983063 VSK983062:VSK983063 WCG983062:WCG983063 WMC983062:WMC983063 WVY983062:WVY983063">
      <formula1>0</formula1>
      <formula2>9.99999999999999E+23</formula2>
    </dataValidation>
    <dataValidation type="textLength" operator="lessThanOrEqual" allowBlank="1" showInputMessage="1" showErrorMessage="1" errorTitle="Ошибка" error="Допускается ввод не более 900 символов!" sqref="B46:B50 IX46:IX50 ST46:ST50 ACP46:ACP50 AML46:AML50 AWH46:AWH50 BGD46:BGD50 BPZ46:BPZ50 BZV46:BZV50 CJR46:CJR50 CTN46:CTN50 DDJ46:DDJ50 DNF46:DNF50 DXB46:DXB50 EGX46:EGX50 EQT46:EQT50 FAP46:FAP50 FKL46:FKL50 FUH46:FUH50 GED46:GED50 GNZ46:GNZ50 GXV46:GXV50 HHR46:HHR50 HRN46:HRN50 IBJ46:IBJ50 ILF46:ILF50 IVB46:IVB50 JEX46:JEX50 JOT46:JOT50 JYP46:JYP50 KIL46:KIL50 KSH46:KSH50 LCD46:LCD50 LLZ46:LLZ50 LVV46:LVV50 MFR46:MFR50 MPN46:MPN50 MZJ46:MZJ50 NJF46:NJF50 NTB46:NTB50 OCX46:OCX50 OMT46:OMT50 OWP46:OWP50 PGL46:PGL50 PQH46:PQH50 QAD46:QAD50 QJZ46:QJZ50 QTV46:QTV50 RDR46:RDR50 RNN46:RNN50 RXJ46:RXJ50 SHF46:SHF50 SRB46:SRB50 TAX46:TAX50 TKT46:TKT50 TUP46:TUP50 UEL46:UEL50 UOH46:UOH50 UYD46:UYD50 VHZ46:VHZ50 VRV46:VRV50 WBR46:WBR50 WLN46:WLN50 WVJ46:WVJ50 B65582:B65586 IX65582:IX65586 ST65582:ST65586 ACP65582:ACP65586 AML65582:AML65586 AWH65582:AWH65586 BGD65582:BGD65586 BPZ65582:BPZ65586 BZV65582:BZV65586 CJR65582:CJR65586 CTN65582:CTN65586 DDJ65582:DDJ65586 DNF65582:DNF65586 DXB65582:DXB65586 EGX65582:EGX65586 EQT65582:EQT65586 FAP65582:FAP65586 FKL65582:FKL65586 FUH65582:FUH65586 GED65582:GED65586 GNZ65582:GNZ65586 GXV65582:GXV65586 HHR65582:HHR65586 HRN65582:HRN65586 IBJ65582:IBJ65586 ILF65582:ILF65586 IVB65582:IVB65586 JEX65582:JEX65586 JOT65582:JOT65586 JYP65582:JYP65586 KIL65582:KIL65586 KSH65582:KSH65586 LCD65582:LCD65586 LLZ65582:LLZ65586 LVV65582:LVV65586 MFR65582:MFR65586 MPN65582:MPN65586 MZJ65582:MZJ65586 NJF65582:NJF65586 NTB65582:NTB65586 OCX65582:OCX65586 OMT65582:OMT65586 OWP65582:OWP65586 PGL65582:PGL65586 PQH65582:PQH65586 QAD65582:QAD65586 QJZ65582:QJZ65586 QTV65582:QTV65586 RDR65582:RDR65586 RNN65582:RNN65586 RXJ65582:RXJ65586 SHF65582:SHF65586 SRB65582:SRB65586 TAX65582:TAX65586 TKT65582:TKT65586 TUP65582:TUP65586 UEL65582:UEL65586 UOH65582:UOH65586 UYD65582:UYD65586 VHZ65582:VHZ65586 VRV65582:VRV65586 WBR65582:WBR65586 WLN65582:WLN65586 WVJ65582:WVJ65586 B131118:B131122 IX131118:IX131122 ST131118:ST131122 ACP131118:ACP131122 AML131118:AML131122 AWH131118:AWH131122 BGD131118:BGD131122 BPZ131118:BPZ131122 BZV131118:BZV131122 CJR131118:CJR131122 CTN131118:CTN131122 DDJ131118:DDJ131122 DNF131118:DNF131122 DXB131118:DXB131122 EGX131118:EGX131122 EQT131118:EQT131122 FAP131118:FAP131122 FKL131118:FKL131122 FUH131118:FUH131122 GED131118:GED131122 GNZ131118:GNZ131122 GXV131118:GXV131122 HHR131118:HHR131122 HRN131118:HRN131122 IBJ131118:IBJ131122 ILF131118:ILF131122 IVB131118:IVB131122 JEX131118:JEX131122 JOT131118:JOT131122 JYP131118:JYP131122 KIL131118:KIL131122 KSH131118:KSH131122 LCD131118:LCD131122 LLZ131118:LLZ131122 LVV131118:LVV131122 MFR131118:MFR131122 MPN131118:MPN131122 MZJ131118:MZJ131122 NJF131118:NJF131122 NTB131118:NTB131122 OCX131118:OCX131122 OMT131118:OMT131122 OWP131118:OWP131122 PGL131118:PGL131122 PQH131118:PQH131122 QAD131118:QAD131122 QJZ131118:QJZ131122 QTV131118:QTV131122 RDR131118:RDR131122 RNN131118:RNN131122 RXJ131118:RXJ131122 SHF131118:SHF131122 SRB131118:SRB131122 TAX131118:TAX131122 TKT131118:TKT131122 TUP131118:TUP131122 UEL131118:UEL131122 UOH131118:UOH131122 UYD131118:UYD131122 VHZ131118:VHZ131122 VRV131118:VRV131122 WBR131118:WBR131122 WLN131118:WLN131122 WVJ131118:WVJ131122 B196654:B196658 IX196654:IX196658 ST196654:ST196658 ACP196654:ACP196658 AML196654:AML196658 AWH196654:AWH196658 BGD196654:BGD196658 BPZ196654:BPZ196658 BZV196654:BZV196658 CJR196654:CJR196658 CTN196654:CTN196658 DDJ196654:DDJ196658 DNF196654:DNF196658 DXB196654:DXB196658 EGX196654:EGX196658 EQT196654:EQT196658 FAP196654:FAP196658 FKL196654:FKL196658 FUH196654:FUH196658 GED196654:GED196658 GNZ196654:GNZ196658 GXV196654:GXV196658 HHR196654:HHR196658 HRN196654:HRN196658 IBJ196654:IBJ196658 ILF196654:ILF196658 IVB196654:IVB196658 JEX196654:JEX196658 JOT196654:JOT196658 JYP196654:JYP196658 KIL196654:KIL196658 KSH196654:KSH196658 LCD196654:LCD196658 LLZ196654:LLZ196658 LVV196654:LVV196658 MFR196654:MFR196658 MPN196654:MPN196658 MZJ196654:MZJ196658 NJF196654:NJF196658 NTB196654:NTB196658 OCX196654:OCX196658 OMT196654:OMT196658 OWP196654:OWP196658 PGL196654:PGL196658 PQH196654:PQH196658 QAD196654:QAD196658 QJZ196654:QJZ196658 QTV196654:QTV196658 RDR196654:RDR196658 RNN196654:RNN196658 RXJ196654:RXJ196658 SHF196654:SHF196658 SRB196654:SRB196658 TAX196654:TAX196658 TKT196654:TKT196658 TUP196654:TUP196658 UEL196654:UEL196658 UOH196654:UOH196658 UYD196654:UYD196658 VHZ196654:VHZ196658 VRV196654:VRV196658 WBR196654:WBR196658 WLN196654:WLN196658 WVJ196654:WVJ196658 B262190:B262194 IX262190:IX262194 ST262190:ST262194 ACP262190:ACP262194 AML262190:AML262194 AWH262190:AWH262194 BGD262190:BGD262194 BPZ262190:BPZ262194 BZV262190:BZV262194 CJR262190:CJR262194 CTN262190:CTN262194 DDJ262190:DDJ262194 DNF262190:DNF262194 DXB262190:DXB262194 EGX262190:EGX262194 EQT262190:EQT262194 FAP262190:FAP262194 FKL262190:FKL262194 FUH262190:FUH262194 GED262190:GED262194 GNZ262190:GNZ262194 GXV262190:GXV262194 HHR262190:HHR262194 HRN262190:HRN262194 IBJ262190:IBJ262194 ILF262190:ILF262194 IVB262190:IVB262194 JEX262190:JEX262194 JOT262190:JOT262194 JYP262190:JYP262194 KIL262190:KIL262194 KSH262190:KSH262194 LCD262190:LCD262194 LLZ262190:LLZ262194 LVV262190:LVV262194 MFR262190:MFR262194 MPN262190:MPN262194 MZJ262190:MZJ262194 NJF262190:NJF262194 NTB262190:NTB262194 OCX262190:OCX262194 OMT262190:OMT262194 OWP262190:OWP262194 PGL262190:PGL262194 PQH262190:PQH262194 QAD262190:QAD262194 QJZ262190:QJZ262194 QTV262190:QTV262194 RDR262190:RDR262194 RNN262190:RNN262194 RXJ262190:RXJ262194 SHF262190:SHF262194 SRB262190:SRB262194 TAX262190:TAX262194 TKT262190:TKT262194 TUP262190:TUP262194 UEL262190:UEL262194 UOH262190:UOH262194 UYD262190:UYD262194 VHZ262190:VHZ262194 VRV262190:VRV262194 WBR262190:WBR262194 WLN262190:WLN262194 WVJ262190:WVJ262194 B327726:B327730 IX327726:IX327730 ST327726:ST327730 ACP327726:ACP327730 AML327726:AML327730 AWH327726:AWH327730 BGD327726:BGD327730 BPZ327726:BPZ327730 BZV327726:BZV327730 CJR327726:CJR327730 CTN327726:CTN327730 DDJ327726:DDJ327730 DNF327726:DNF327730 DXB327726:DXB327730 EGX327726:EGX327730 EQT327726:EQT327730 FAP327726:FAP327730 FKL327726:FKL327730 FUH327726:FUH327730 GED327726:GED327730 GNZ327726:GNZ327730 GXV327726:GXV327730 HHR327726:HHR327730 HRN327726:HRN327730 IBJ327726:IBJ327730 ILF327726:ILF327730 IVB327726:IVB327730 JEX327726:JEX327730 JOT327726:JOT327730 JYP327726:JYP327730 KIL327726:KIL327730 KSH327726:KSH327730 LCD327726:LCD327730 LLZ327726:LLZ327730 LVV327726:LVV327730 MFR327726:MFR327730 MPN327726:MPN327730 MZJ327726:MZJ327730 NJF327726:NJF327730 NTB327726:NTB327730 OCX327726:OCX327730 OMT327726:OMT327730 OWP327726:OWP327730 PGL327726:PGL327730 PQH327726:PQH327730 QAD327726:QAD327730 QJZ327726:QJZ327730 QTV327726:QTV327730 RDR327726:RDR327730 RNN327726:RNN327730 RXJ327726:RXJ327730 SHF327726:SHF327730 SRB327726:SRB327730 TAX327726:TAX327730 TKT327726:TKT327730 TUP327726:TUP327730 UEL327726:UEL327730 UOH327726:UOH327730 UYD327726:UYD327730 VHZ327726:VHZ327730 VRV327726:VRV327730 WBR327726:WBR327730 WLN327726:WLN327730 WVJ327726:WVJ327730 B393262:B393266 IX393262:IX393266 ST393262:ST393266 ACP393262:ACP393266 AML393262:AML393266 AWH393262:AWH393266 BGD393262:BGD393266 BPZ393262:BPZ393266 BZV393262:BZV393266 CJR393262:CJR393266 CTN393262:CTN393266 DDJ393262:DDJ393266 DNF393262:DNF393266 DXB393262:DXB393266 EGX393262:EGX393266 EQT393262:EQT393266 FAP393262:FAP393266 FKL393262:FKL393266 FUH393262:FUH393266 GED393262:GED393266 GNZ393262:GNZ393266 GXV393262:GXV393266 HHR393262:HHR393266 HRN393262:HRN393266 IBJ393262:IBJ393266 ILF393262:ILF393266 IVB393262:IVB393266 JEX393262:JEX393266 JOT393262:JOT393266 JYP393262:JYP393266 KIL393262:KIL393266 KSH393262:KSH393266 LCD393262:LCD393266 LLZ393262:LLZ393266 LVV393262:LVV393266 MFR393262:MFR393266 MPN393262:MPN393266 MZJ393262:MZJ393266 NJF393262:NJF393266 NTB393262:NTB393266 OCX393262:OCX393266 OMT393262:OMT393266 OWP393262:OWP393266 PGL393262:PGL393266 PQH393262:PQH393266 QAD393262:QAD393266 QJZ393262:QJZ393266 QTV393262:QTV393266 RDR393262:RDR393266 RNN393262:RNN393266 RXJ393262:RXJ393266 SHF393262:SHF393266 SRB393262:SRB393266 TAX393262:TAX393266 TKT393262:TKT393266 TUP393262:TUP393266 UEL393262:UEL393266 UOH393262:UOH393266 UYD393262:UYD393266 VHZ393262:VHZ393266 VRV393262:VRV393266 WBR393262:WBR393266 WLN393262:WLN393266 WVJ393262:WVJ393266 B458798:B458802 IX458798:IX458802 ST458798:ST458802 ACP458798:ACP458802 AML458798:AML458802 AWH458798:AWH458802 BGD458798:BGD458802 BPZ458798:BPZ458802 BZV458798:BZV458802 CJR458798:CJR458802 CTN458798:CTN458802 DDJ458798:DDJ458802 DNF458798:DNF458802 DXB458798:DXB458802 EGX458798:EGX458802 EQT458798:EQT458802 FAP458798:FAP458802 FKL458798:FKL458802 FUH458798:FUH458802 GED458798:GED458802 GNZ458798:GNZ458802 GXV458798:GXV458802 HHR458798:HHR458802 HRN458798:HRN458802 IBJ458798:IBJ458802 ILF458798:ILF458802 IVB458798:IVB458802 JEX458798:JEX458802 JOT458798:JOT458802 JYP458798:JYP458802 KIL458798:KIL458802 KSH458798:KSH458802 LCD458798:LCD458802 LLZ458798:LLZ458802 LVV458798:LVV458802 MFR458798:MFR458802 MPN458798:MPN458802 MZJ458798:MZJ458802 NJF458798:NJF458802 NTB458798:NTB458802 OCX458798:OCX458802 OMT458798:OMT458802 OWP458798:OWP458802 PGL458798:PGL458802 PQH458798:PQH458802 QAD458798:QAD458802 QJZ458798:QJZ458802 QTV458798:QTV458802 RDR458798:RDR458802 RNN458798:RNN458802 RXJ458798:RXJ458802 SHF458798:SHF458802 SRB458798:SRB458802 TAX458798:TAX458802 TKT458798:TKT458802 TUP458798:TUP458802 UEL458798:UEL458802 UOH458798:UOH458802 UYD458798:UYD458802 VHZ458798:VHZ458802 VRV458798:VRV458802 WBR458798:WBR458802 WLN458798:WLN458802 WVJ458798:WVJ458802 B524334:B524338 IX524334:IX524338 ST524334:ST524338 ACP524334:ACP524338 AML524334:AML524338 AWH524334:AWH524338 BGD524334:BGD524338 BPZ524334:BPZ524338 BZV524334:BZV524338 CJR524334:CJR524338 CTN524334:CTN524338 DDJ524334:DDJ524338 DNF524334:DNF524338 DXB524334:DXB524338 EGX524334:EGX524338 EQT524334:EQT524338 FAP524334:FAP524338 FKL524334:FKL524338 FUH524334:FUH524338 GED524334:GED524338 GNZ524334:GNZ524338 GXV524334:GXV524338 HHR524334:HHR524338 HRN524334:HRN524338 IBJ524334:IBJ524338 ILF524334:ILF524338 IVB524334:IVB524338 JEX524334:JEX524338 JOT524334:JOT524338 JYP524334:JYP524338 KIL524334:KIL524338 KSH524334:KSH524338 LCD524334:LCD524338 LLZ524334:LLZ524338 LVV524334:LVV524338 MFR524334:MFR524338 MPN524334:MPN524338 MZJ524334:MZJ524338 NJF524334:NJF524338 NTB524334:NTB524338 OCX524334:OCX524338 OMT524334:OMT524338 OWP524334:OWP524338 PGL524334:PGL524338 PQH524334:PQH524338 QAD524334:QAD524338 QJZ524334:QJZ524338 QTV524334:QTV524338 RDR524334:RDR524338 RNN524334:RNN524338 RXJ524334:RXJ524338 SHF524334:SHF524338 SRB524334:SRB524338 TAX524334:TAX524338 TKT524334:TKT524338 TUP524334:TUP524338 UEL524334:UEL524338 UOH524334:UOH524338 UYD524334:UYD524338 VHZ524334:VHZ524338 VRV524334:VRV524338 WBR524334:WBR524338 WLN524334:WLN524338 WVJ524334:WVJ524338 B589870:B589874 IX589870:IX589874 ST589870:ST589874 ACP589870:ACP589874 AML589870:AML589874 AWH589870:AWH589874 BGD589870:BGD589874 BPZ589870:BPZ589874 BZV589870:BZV589874 CJR589870:CJR589874 CTN589870:CTN589874 DDJ589870:DDJ589874 DNF589870:DNF589874 DXB589870:DXB589874 EGX589870:EGX589874 EQT589870:EQT589874 FAP589870:FAP589874 FKL589870:FKL589874 FUH589870:FUH589874 GED589870:GED589874 GNZ589870:GNZ589874 GXV589870:GXV589874 HHR589870:HHR589874 HRN589870:HRN589874 IBJ589870:IBJ589874 ILF589870:ILF589874 IVB589870:IVB589874 JEX589870:JEX589874 JOT589870:JOT589874 JYP589870:JYP589874 KIL589870:KIL589874 KSH589870:KSH589874 LCD589870:LCD589874 LLZ589870:LLZ589874 LVV589870:LVV589874 MFR589870:MFR589874 MPN589870:MPN589874 MZJ589870:MZJ589874 NJF589870:NJF589874 NTB589870:NTB589874 OCX589870:OCX589874 OMT589870:OMT589874 OWP589870:OWP589874 PGL589870:PGL589874 PQH589870:PQH589874 QAD589870:QAD589874 QJZ589870:QJZ589874 QTV589870:QTV589874 RDR589870:RDR589874 RNN589870:RNN589874 RXJ589870:RXJ589874 SHF589870:SHF589874 SRB589870:SRB589874 TAX589870:TAX589874 TKT589870:TKT589874 TUP589870:TUP589874 UEL589870:UEL589874 UOH589870:UOH589874 UYD589870:UYD589874 VHZ589870:VHZ589874 VRV589870:VRV589874 WBR589870:WBR589874 WLN589870:WLN589874 WVJ589870:WVJ589874 B655406:B655410 IX655406:IX655410 ST655406:ST655410 ACP655406:ACP655410 AML655406:AML655410 AWH655406:AWH655410 BGD655406:BGD655410 BPZ655406:BPZ655410 BZV655406:BZV655410 CJR655406:CJR655410 CTN655406:CTN655410 DDJ655406:DDJ655410 DNF655406:DNF655410 DXB655406:DXB655410 EGX655406:EGX655410 EQT655406:EQT655410 FAP655406:FAP655410 FKL655406:FKL655410 FUH655406:FUH655410 GED655406:GED655410 GNZ655406:GNZ655410 GXV655406:GXV655410 HHR655406:HHR655410 HRN655406:HRN655410 IBJ655406:IBJ655410 ILF655406:ILF655410 IVB655406:IVB655410 JEX655406:JEX655410 JOT655406:JOT655410 JYP655406:JYP655410 KIL655406:KIL655410 KSH655406:KSH655410 LCD655406:LCD655410 LLZ655406:LLZ655410 LVV655406:LVV655410 MFR655406:MFR655410 MPN655406:MPN655410 MZJ655406:MZJ655410 NJF655406:NJF655410 NTB655406:NTB655410 OCX655406:OCX655410 OMT655406:OMT655410 OWP655406:OWP655410 PGL655406:PGL655410 PQH655406:PQH655410 QAD655406:QAD655410 QJZ655406:QJZ655410 QTV655406:QTV655410 RDR655406:RDR655410 RNN655406:RNN655410 RXJ655406:RXJ655410 SHF655406:SHF655410 SRB655406:SRB655410 TAX655406:TAX655410 TKT655406:TKT655410 TUP655406:TUP655410 UEL655406:UEL655410 UOH655406:UOH655410 UYD655406:UYD655410 VHZ655406:VHZ655410 VRV655406:VRV655410 WBR655406:WBR655410 WLN655406:WLN655410 WVJ655406:WVJ655410 B720942:B720946 IX720942:IX720946 ST720942:ST720946 ACP720942:ACP720946 AML720942:AML720946 AWH720942:AWH720946 BGD720942:BGD720946 BPZ720942:BPZ720946 BZV720942:BZV720946 CJR720942:CJR720946 CTN720942:CTN720946 DDJ720942:DDJ720946 DNF720942:DNF720946 DXB720942:DXB720946 EGX720942:EGX720946 EQT720942:EQT720946 FAP720942:FAP720946 FKL720942:FKL720946 FUH720942:FUH720946 GED720942:GED720946 GNZ720942:GNZ720946 GXV720942:GXV720946 HHR720942:HHR720946 HRN720942:HRN720946 IBJ720942:IBJ720946 ILF720942:ILF720946 IVB720942:IVB720946 JEX720942:JEX720946 JOT720942:JOT720946 JYP720942:JYP720946 KIL720942:KIL720946 KSH720942:KSH720946 LCD720942:LCD720946 LLZ720942:LLZ720946 LVV720942:LVV720946 MFR720942:MFR720946 MPN720942:MPN720946 MZJ720942:MZJ720946 NJF720942:NJF720946 NTB720942:NTB720946 OCX720942:OCX720946 OMT720942:OMT720946 OWP720942:OWP720946 PGL720942:PGL720946 PQH720942:PQH720946 QAD720942:QAD720946 QJZ720942:QJZ720946 QTV720942:QTV720946 RDR720942:RDR720946 RNN720942:RNN720946 RXJ720942:RXJ720946 SHF720942:SHF720946 SRB720942:SRB720946 TAX720942:TAX720946 TKT720942:TKT720946 TUP720942:TUP720946 UEL720942:UEL720946 UOH720942:UOH720946 UYD720942:UYD720946 VHZ720942:VHZ720946 VRV720942:VRV720946 WBR720942:WBR720946 WLN720942:WLN720946 WVJ720942:WVJ720946 B786478:B786482 IX786478:IX786482 ST786478:ST786482 ACP786478:ACP786482 AML786478:AML786482 AWH786478:AWH786482 BGD786478:BGD786482 BPZ786478:BPZ786482 BZV786478:BZV786482 CJR786478:CJR786482 CTN786478:CTN786482 DDJ786478:DDJ786482 DNF786478:DNF786482 DXB786478:DXB786482 EGX786478:EGX786482 EQT786478:EQT786482 FAP786478:FAP786482 FKL786478:FKL786482 FUH786478:FUH786482 GED786478:GED786482 GNZ786478:GNZ786482 GXV786478:GXV786482 HHR786478:HHR786482 HRN786478:HRN786482 IBJ786478:IBJ786482 ILF786478:ILF786482 IVB786478:IVB786482 JEX786478:JEX786482 JOT786478:JOT786482 JYP786478:JYP786482 KIL786478:KIL786482 KSH786478:KSH786482 LCD786478:LCD786482 LLZ786478:LLZ786482 LVV786478:LVV786482 MFR786478:MFR786482 MPN786478:MPN786482 MZJ786478:MZJ786482 NJF786478:NJF786482 NTB786478:NTB786482 OCX786478:OCX786482 OMT786478:OMT786482 OWP786478:OWP786482 PGL786478:PGL786482 PQH786478:PQH786482 QAD786478:QAD786482 QJZ786478:QJZ786482 QTV786478:QTV786482 RDR786478:RDR786482 RNN786478:RNN786482 RXJ786478:RXJ786482 SHF786478:SHF786482 SRB786478:SRB786482 TAX786478:TAX786482 TKT786478:TKT786482 TUP786478:TUP786482 UEL786478:UEL786482 UOH786478:UOH786482 UYD786478:UYD786482 VHZ786478:VHZ786482 VRV786478:VRV786482 WBR786478:WBR786482 WLN786478:WLN786482 WVJ786478:WVJ786482 B852014:B852018 IX852014:IX852018 ST852014:ST852018 ACP852014:ACP852018 AML852014:AML852018 AWH852014:AWH852018 BGD852014:BGD852018 BPZ852014:BPZ852018 BZV852014:BZV852018 CJR852014:CJR852018 CTN852014:CTN852018 DDJ852014:DDJ852018 DNF852014:DNF852018 DXB852014:DXB852018 EGX852014:EGX852018 EQT852014:EQT852018 FAP852014:FAP852018 FKL852014:FKL852018 FUH852014:FUH852018 GED852014:GED852018 GNZ852014:GNZ852018 GXV852014:GXV852018 HHR852014:HHR852018 HRN852014:HRN852018 IBJ852014:IBJ852018 ILF852014:ILF852018 IVB852014:IVB852018 JEX852014:JEX852018 JOT852014:JOT852018 JYP852014:JYP852018 KIL852014:KIL852018 KSH852014:KSH852018 LCD852014:LCD852018 LLZ852014:LLZ852018 LVV852014:LVV852018 MFR852014:MFR852018 MPN852014:MPN852018 MZJ852014:MZJ852018 NJF852014:NJF852018 NTB852014:NTB852018 OCX852014:OCX852018 OMT852014:OMT852018 OWP852014:OWP852018 PGL852014:PGL852018 PQH852014:PQH852018 QAD852014:QAD852018 QJZ852014:QJZ852018 QTV852014:QTV852018 RDR852014:RDR852018 RNN852014:RNN852018 RXJ852014:RXJ852018 SHF852014:SHF852018 SRB852014:SRB852018 TAX852014:TAX852018 TKT852014:TKT852018 TUP852014:TUP852018 UEL852014:UEL852018 UOH852014:UOH852018 UYD852014:UYD852018 VHZ852014:VHZ852018 VRV852014:VRV852018 WBR852014:WBR852018 WLN852014:WLN852018 WVJ852014:WVJ852018 B917550:B917554 IX917550:IX917554 ST917550:ST917554 ACP917550:ACP917554 AML917550:AML917554 AWH917550:AWH917554 BGD917550:BGD917554 BPZ917550:BPZ917554 BZV917550:BZV917554 CJR917550:CJR917554 CTN917550:CTN917554 DDJ917550:DDJ917554 DNF917550:DNF917554 DXB917550:DXB917554 EGX917550:EGX917554 EQT917550:EQT917554 FAP917550:FAP917554 FKL917550:FKL917554 FUH917550:FUH917554 GED917550:GED917554 GNZ917550:GNZ917554 GXV917550:GXV917554 HHR917550:HHR917554 HRN917550:HRN917554 IBJ917550:IBJ917554 ILF917550:ILF917554 IVB917550:IVB917554 JEX917550:JEX917554 JOT917550:JOT917554 JYP917550:JYP917554 KIL917550:KIL917554 KSH917550:KSH917554 LCD917550:LCD917554 LLZ917550:LLZ917554 LVV917550:LVV917554 MFR917550:MFR917554 MPN917550:MPN917554 MZJ917550:MZJ917554 NJF917550:NJF917554 NTB917550:NTB917554 OCX917550:OCX917554 OMT917550:OMT917554 OWP917550:OWP917554 PGL917550:PGL917554 PQH917550:PQH917554 QAD917550:QAD917554 QJZ917550:QJZ917554 QTV917550:QTV917554 RDR917550:RDR917554 RNN917550:RNN917554 RXJ917550:RXJ917554 SHF917550:SHF917554 SRB917550:SRB917554 TAX917550:TAX917554 TKT917550:TKT917554 TUP917550:TUP917554 UEL917550:UEL917554 UOH917550:UOH917554 UYD917550:UYD917554 VHZ917550:VHZ917554 VRV917550:VRV917554 WBR917550:WBR917554 WLN917550:WLN917554 WVJ917550:WVJ917554 B983086:B983090 IX983086:IX983090 ST983086:ST983090 ACP983086:ACP983090 AML983086:AML983090 AWH983086:AWH983090 BGD983086:BGD983090 BPZ983086:BPZ983090 BZV983086:BZV983090 CJR983086:CJR983090 CTN983086:CTN983090 DDJ983086:DDJ983090 DNF983086:DNF983090 DXB983086:DXB983090 EGX983086:EGX983090 EQT983086:EQT983090 FAP983086:FAP983090 FKL983086:FKL983090 FUH983086:FUH983090 GED983086:GED983090 GNZ983086:GNZ983090 GXV983086:GXV983090 HHR983086:HHR983090 HRN983086:HRN983090 IBJ983086:IBJ983090 ILF983086:ILF983090 IVB983086:IVB983090 JEX983086:JEX983090 JOT983086:JOT983090 JYP983086:JYP983090 KIL983086:KIL983090 KSH983086:KSH983090 LCD983086:LCD983090 LLZ983086:LLZ983090 LVV983086:LVV983090 MFR983086:MFR983090 MPN983086:MPN983090 MZJ983086:MZJ983090 NJF983086:NJF983090 NTB983086:NTB983090 OCX983086:OCX983090 OMT983086:OMT983090 OWP983086:OWP983090 PGL983086:PGL983090 PQH983086:PQH983090 QAD983086:QAD983090 QJZ983086:QJZ983090 QTV983086:QTV983090 RDR983086:RDR983090 RNN983086:RNN983090 RXJ983086:RXJ983090 SHF983086:SHF983090 SRB983086:SRB983090 TAX983086:TAX983090 TKT983086:TKT983090 TUP983086:TUP983090 UEL983086:UEL983090 UOH983086:UOH983090 UYD983086:UYD983090 VHZ983086:VHZ983090 VRV983086:VRV983090 WBR983086:WBR983090 WLN983086:WLN983090 WVJ983086:WVJ983090 B55:B57 IX55:IX57 ST55:ST57 ACP55:ACP57 AML55:AML57 AWH55:AWH57 BGD55:BGD57 BPZ55:BPZ57 BZV55:BZV57 CJR55:CJR57 CTN55:CTN57 DDJ55:DDJ57 DNF55:DNF57 DXB55:DXB57 EGX55:EGX57 EQT55:EQT57 FAP55:FAP57 FKL55:FKL57 FUH55:FUH57 GED55:GED57 GNZ55:GNZ57 GXV55:GXV57 HHR55:HHR57 HRN55:HRN57 IBJ55:IBJ57 ILF55:ILF57 IVB55:IVB57 JEX55:JEX57 JOT55:JOT57 JYP55:JYP57 KIL55:KIL57 KSH55:KSH57 LCD55:LCD57 LLZ55:LLZ57 LVV55:LVV57 MFR55:MFR57 MPN55:MPN57 MZJ55:MZJ57 NJF55:NJF57 NTB55:NTB57 OCX55:OCX57 OMT55:OMT57 OWP55:OWP57 PGL55:PGL57 PQH55:PQH57 QAD55:QAD57 QJZ55:QJZ57 QTV55:QTV57 RDR55:RDR57 RNN55:RNN57 RXJ55:RXJ57 SHF55:SHF57 SRB55:SRB57 TAX55:TAX57 TKT55:TKT57 TUP55:TUP57 UEL55:UEL57 UOH55:UOH57 UYD55:UYD57 VHZ55:VHZ57 VRV55:VRV57 WBR55:WBR57 WLN55:WLN57 WVJ55:WVJ57 B65591:B65593 IX65591:IX65593 ST65591:ST65593 ACP65591:ACP65593 AML65591:AML65593 AWH65591:AWH65593 BGD65591:BGD65593 BPZ65591:BPZ65593 BZV65591:BZV65593 CJR65591:CJR65593 CTN65591:CTN65593 DDJ65591:DDJ65593 DNF65591:DNF65593 DXB65591:DXB65593 EGX65591:EGX65593 EQT65591:EQT65593 FAP65591:FAP65593 FKL65591:FKL65593 FUH65591:FUH65593 GED65591:GED65593 GNZ65591:GNZ65593 GXV65591:GXV65593 HHR65591:HHR65593 HRN65591:HRN65593 IBJ65591:IBJ65593 ILF65591:ILF65593 IVB65591:IVB65593 JEX65591:JEX65593 JOT65591:JOT65593 JYP65591:JYP65593 KIL65591:KIL65593 KSH65591:KSH65593 LCD65591:LCD65593 LLZ65591:LLZ65593 LVV65591:LVV65593 MFR65591:MFR65593 MPN65591:MPN65593 MZJ65591:MZJ65593 NJF65591:NJF65593 NTB65591:NTB65593 OCX65591:OCX65593 OMT65591:OMT65593 OWP65591:OWP65593 PGL65591:PGL65593 PQH65591:PQH65593 QAD65591:QAD65593 QJZ65591:QJZ65593 QTV65591:QTV65593 RDR65591:RDR65593 RNN65591:RNN65593 RXJ65591:RXJ65593 SHF65591:SHF65593 SRB65591:SRB65593 TAX65591:TAX65593 TKT65591:TKT65593 TUP65591:TUP65593 UEL65591:UEL65593 UOH65591:UOH65593 UYD65591:UYD65593 VHZ65591:VHZ65593 VRV65591:VRV65593 WBR65591:WBR65593 WLN65591:WLN65593 WVJ65591:WVJ65593 B131127:B131129 IX131127:IX131129 ST131127:ST131129 ACP131127:ACP131129 AML131127:AML131129 AWH131127:AWH131129 BGD131127:BGD131129 BPZ131127:BPZ131129 BZV131127:BZV131129 CJR131127:CJR131129 CTN131127:CTN131129 DDJ131127:DDJ131129 DNF131127:DNF131129 DXB131127:DXB131129 EGX131127:EGX131129 EQT131127:EQT131129 FAP131127:FAP131129 FKL131127:FKL131129 FUH131127:FUH131129 GED131127:GED131129 GNZ131127:GNZ131129 GXV131127:GXV131129 HHR131127:HHR131129 HRN131127:HRN131129 IBJ131127:IBJ131129 ILF131127:ILF131129 IVB131127:IVB131129 JEX131127:JEX131129 JOT131127:JOT131129 JYP131127:JYP131129 KIL131127:KIL131129 KSH131127:KSH131129 LCD131127:LCD131129 LLZ131127:LLZ131129 LVV131127:LVV131129 MFR131127:MFR131129 MPN131127:MPN131129 MZJ131127:MZJ131129 NJF131127:NJF131129 NTB131127:NTB131129 OCX131127:OCX131129 OMT131127:OMT131129 OWP131127:OWP131129 PGL131127:PGL131129 PQH131127:PQH131129 QAD131127:QAD131129 QJZ131127:QJZ131129 QTV131127:QTV131129 RDR131127:RDR131129 RNN131127:RNN131129 RXJ131127:RXJ131129 SHF131127:SHF131129 SRB131127:SRB131129 TAX131127:TAX131129 TKT131127:TKT131129 TUP131127:TUP131129 UEL131127:UEL131129 UOH131127:UOH131129 UYD131127:UYD131129 VHZ131127:VHZ131129 VRV131127:VRV131129 WBR131127:WBR131129 WLN131127:WLN131129 WVJ131127:WVJ131129 B196663:B196665 IX196663:IX196665 ST196663:ST196665 ACP196663:ACP196665 AML196663:AML196665 AWH196663:AWH196665 BGD196663:BGD196665 BPZ196663:BPZ196665 BZV196663:BZV196665 CJR196663:CJR196665 CTN196663:CTN196665 DDJ196663:DDJ196665 DNF196663:DNF196665 DXB196663:DXB196665 EGX196663:EGX196665 EQT196663:EQT196665 FAP196663:FAP196665 FKL196663:FKL196665 FUH196663:FUH196665 GED196663:GED196665 GNZ196663:GNZ196665 GXV196663:GXV196665 HHR196663:HHR196665 HRN196663:HRN196665 IBJ196663:IBJ196665 ILF196663:ILF196665 IVB196663:IVB196665 JEX196663:JEX196665 JOT196663:JOT196665 JYP196663:JYP196665 KIL196663:KIL196665 KSH196663:KSH196665 LCD196663:LCD196665 LLZ196663:LLZ196665 LVV196663:LVV196665 MFR196663:MFR196665 MPN196663:MPN196665 MZJ196663:MZJ196665 NJF196663:NJF196665 NTB196663:NTB196665 OCX196663:OCX196665 OMT196663:OMT196665 OWP196663:OWP196665 PGL196663:PGL196665 PQH196663:PQH196665 QAD196663:QAD196665 QJZ196663:QJZ196665 QTV196663:QTV196665 RDR196663:RDR196665 RNN196663:RNN196665 RXJ196663:RXJ196665 SHF196663:SHF196665 SRB196663:SRB196665 TAX196663:TAX196665 TKT196663:TKT196665 TUP196663:TUP196665 UEL196663:UEL196665 UOH196663:UOH196665 UYD196663:UYD196665 VHZ196663:VHZ196665 VRV196663:VRV196665 WBR196663:WBR196665 WLN196663:WLN196665 WVJ196663:WVJ196665 B262199:B262201 IX262199:IX262201 ST262199:ST262201 ACP262199:ACP262201 AML262199:AML262201 AWH262199:AWH262201 BGD262199:BGD262201 BPZ262199:BPZ262201 BZV262199:BZV262201 CJR262199:CJR262201 CTN262199:CTN262201 DDJ262199:DDJ262201 DNF262199:DNF262201 DXB262199:DXB262201 EGX262199:EGX262201 EQT262199:EQT262201 FAP262199:FAP262201 FKL262199:FKL262201 FUH262199:FUH262201 GED262199:GED262201 GNZ262199:GNZ262201 GXV262199:GXV262201 HHR262199:HHR262201 HRN262199:HRN262201 IBJ262199:IBJ262201 ILF262199:ILF262201 IVB262199:IVB262201 JEX262199:JEX262201 JOT262199:JOT262201 JYP262199:JYP262201 KIL262199:KIL262201 KSH262199:KSH262201 LCD262199:LCD262201 LLZ262199:LLZ262201 LVV262199:LVV262201 MFR262199:MFR262201 MPN262199:MPN262201 MZJ262199:MZJ262201 NJF262199:NJF262201 NTB262199:NTB262201 OCX262199:OCX262201 OMT262199:OMT262201 OWP262199:OWP262201 PGL262199:PGL262201 PQH262199:PQH262201 QAD262199:QAD262201 QJZ262199:QJZ262201 QTV262199:QTV262201 RDR262199:RDR262201 RNN262199:RNN262201 RXJ262199:RXJ262201 SHF262199:SHF262201 SRB262199:SRB262201 TAX262199:TAX262201 TKT262199:TKT262201 TUP262199:TUP262201 UEL262199:UEL262201 UOH262199:UOH262201 UYD262199:UYD262201 VHZ262199:VHZ262201 VRV262199:VRV262201 WBR262199:WBR262201 WLN262199:WLN262201 WVJ262199:WVJ262201 B327735:B327737 IX327735:IX327737 ST327735:ST327737 ACP327735:ACP327737 AML327735:AML327737 AWH327735:AWH327737 BGD327735:BGD327737 BPZ327735:BPZ327737 BZV327735:BZV327737 CJR327735:CJR327737 CTN327735:CTN327737 DDJ327735:DDJ327737 DNF327735:DNF327737 DXB327735:DXB327737 EGX327735:EGX327737 EQT327735:EQT327737 FAP327735:FAP327737 FKL327735:FKL327737 FUH327735:FUH327737 GED327735:GED327737 GNZ327735:GNZ327737 GXV327735:GXV327737 HHR327735:HHR327737 HRN327735:HRN327737 IBJ327735:IBJ327737 ILF327735:ILF327737 IVB327735:IVB327737 JEX327735:JEX327737 JOT327735:JOT327737 JYP327735:JYP327737 KIL327735:KIL327737 KSH327735:KSH327737 LCD327735:LCD327737 LLZ327735:LLZ327737 LVV327735:LVV327737 MFR327735:MFR327737 MPN327735:MPN327737 MZJ327735:MZJ327737 NJF327735:NJF327737 NTB327735:NTB327737 OCX327735:OCX327737 OMT327735:OMT327737 OWP327735:OWP327737 PGL327735:PGL327737 PQH327735:PQH327737 QAD327735:QAD327737 QJZ327735:QJZ327737 QTV327735:QTV327737 RDR327735:RDR327737 RNN327735:RNN327737 RXJ327735:RXJ327737 SHF327735:SHF327737 SRB327735:SRB327737 TAX327735:TAX327737 TKT327735:TKT327737 TUP327735:TUP327737 UEL327735:UEL327737 UOH327735:UOH327737 UYD327735:UYD327737 VHZ327735:VHZ327737 VRV327735:VRV327737 WBR327735:WBR327737 WLN327735:WLN327737 WVJ327735:WVJ327737 B393271:B393273 IX393271:IX393273 ST393271:ST393273 ACP393271:ACP393273 AML393271:AML393273 AWH393271:AWH393273 BGD393271:BGD393273 BPZ393271:BPZ393273 BZV393271:BZV393273 CJR393271:CJR393273 CTN393271:CTN393273 DDJ393271:DDJ393273 DNF393271:DNF393273 DXB393271:DXB393273 EGX393271:EGX393273 EQT393271:EQT393273 FAP393271:FAP393273 FKL393271:FKL393273 FUH393271:FUH393273 GED393271:GED393273 GNZ393271:GNZ393273 GXV393271:GXV393273 HHR393271:HHR393273 HRN393271:HRN393273 IBJ393271:IBJ393273 ILF393271:ILF393273 IVB393271:IVB393273 JEX393271:JEX393273 JOT393271:JOT393273 JYP393271:JYP393273 KIL393271:KIL393273 KSH393271:KSH393273 LCD393271:LCD393273 LLZ393271:LLZ393273 LVV393271:LVV393273 MFR393271:MFR393273 MPN393271:MPN393273 MZJ393271:MZJ393273 NJF393271:NJF393273 NTB393271:NTB393273 OCX393271:OCX393273 OMT393271:OMT393273 OWP393271:OWP393273 PGL393271:PGL393273 PQH393271:PQH393273 QAD393271:QAD393273 QJZ393271:QJZ393273 QTV393271:QTV393273 RDR393271:RDR393273 RNN393271:RNN393273 RXJ393271:RXJ393273 SHF393271:SHF393273 SRB393271:SRB393273 TAX393271:TAX393273 TKT393271:TKT393273 TUP393271:TUP393273 UEL393271:UEL393273 UOH393271:UOH393273 UYD393271:UYD393273 VHZ393271:VHZ393273 VRV393271:VRV393273 WBR393271:WBR393273 WLN393271:WLN393273 WVJ393271:WVJ393273 B458807:B458809 IX458807:IX458809 ST458807:ST458809 ACP458807:ACP458809 AML458807:AML458809 AWH458807:AWH458809 BGD458807:BGD458809 BPZ458807:BPZ458809 BZV458807:BZV458809 CJR458807:CJR458809 CTN458807:CTN458809 DDJ458807:DDJ458809 DNF458807:DNF458809 DXB458807:DXB458809 EGX458807:EGX458809 EQT458807:EQT458809 FAP458807:FAP458809 FKL458807:FKL458809 FUH458807:FUH458809 GED458807:GED458809 GNZ458807:GNZ458809 GXV458807:GXV458809 HHR458807:HHR458809 HRN458807:HRN458809 IBJ458807:IBJ458809 ILF458807:ILF458809 IVB458807:IVB458809 JEX458807:JEX458809 JOT458807:JOT458809 JYP458807:JYP458809 KIL458807:KIL458809 KSH458807:KSH458809 LCD458807:LCD458809 LLZ458807:LLZ458809 LVV458807:LVV458809 MFR458807:MFR458809 MPN458807:MPN458809 MZJ458807:MZJ458809 NJF458807:NJF458809 NTB458807:NTB458809 OCX458807:OCX458809 OMT458807:OMT458809 OWP458807:OWP458809 PGL458807:PGL458809 PQH458807:PQH458809 QAD458807:QAD458809 QJZ458807:QJZ458809 QTV458807:QTV458809 RDR458807:RDR458809 RNN458807:RNN458809 RXJ458807:RXJ458809 SHF458807:SHF458809 SRB458807:SRB458809 TAX458807:TAX458809 TKT458807:TKT458809 TUP458807:TUP458809 UEL458807:UEL458809 UOH458807:UOH458809 UYD458807:UYD458809 VHZ458807:VHZ458809 VRV458807:VRV458809 WBR458807:WBR458809 WLN458807:WLN458809 WVJ458807:WVJ458809 B524343:B524345 IX524343:IX524345 ST524343:ST524345 ACP524343:ACP524345 AML524343:AML524345 AWH524343:AWH524345 BGD524343:BGD524345 BPZ524343:BPZ524345 BZV524343:BZV524345 CJR524343:CJR524345 CTN524343:CTN524345 DDJ524343:DDJ524345 DNF524343:DNF524345 DXB524343:DXB524345 EGX524343:EGX524345 EQT524343:EQT524345 FAP524343:FAP524345 FKL524343:FKL524345 FUH524343:FUH524345 GED524343:GED524345 GNZ524343:GNZ524345 GXV524343:GXV524345 HHR524343:HHR524345 HRN524343:HRN524345 IBJ524343:IBJ524345 ILF524343:ILF524345 IVB524343:IVB524345 JEX524343:JEX524345 JOT524343:JOT524345 JYP524343:JYP524345 KIL524343:KIL524345 KSH524343:KSH524345 LCD524343:LCD524345 LLZ524343:LLZ524345 LVV524343:LVV524345 MFR524343:MFR524345 MPN524343:MPN524345 MZJ524343:MZJ524345 NJF524343:NJF524345 NTB524343:NTB524345 OCX524343:OCX524345 OMT524343:OMT524345 OWP524343:OWP524345 PGL524343:PGL524345 PQH524343:PQH524345 QAD524343:QAD524345 QJZ524343:QJZ524345 QTV524343:QTV524345 RDR524343:RDR524345 RNN524343:RNN524345 RXJ524343:RXJ524345 SHF524343:SHF524345 SRB524343:SRB524345 TAX524343:TAX524345 TKT524343:TKT524345 TUP524343:TUP524345 UEL524343:UEL524345 UOH524343:UOH524345 UYD524343:UYD524345 VHZ524343:VHZ524345 VRV524343:VRV524345 WBR524343:WBR524345 WLN524343:WLN524345 WVJ524343:WVJ524345 B589879:B589881 IX589879:IX589881 ST589879:ST589881 ACP589879:ACP589881 AML589879:AML589881 AWH589879:AWH589881 BGD589879:BGD589881 BPZ589879:BPZ589881 BZV589879:BZV589881 CJR589879:CJR589881 CTN589879:CTN589881 DDJ589879:DDJ589881 DNF589879:DNF589881 DXB589879:DXB589881 EGX589879:EGX589881 EQT589879:EQT589881 FAP589879:FAP589881 FKL589879:FKL589881 FUH589879:FUH589881 GED589879:GED589881 GNZ589879:GNZ589881 GXV589879:GXV589881 HHR589879:HHR589881 HRN589879:HRN589881 IBJ589879:IBJ589881 ILF589879:ILF589881 IVB589879:IVB589881 JEX589879:JEX589881 JOT589879:JOT589881 JYP589879:JYP589881 KIL589879:KIL589881 KSH589879:KSH589881 LCD589879:LCD589881 LLZ589879:LLZ589881 LVV589879:LVV589881 MFR589879:MFR589881 MPN589879:MPN589881 MZJ589879:MZJ589881 NJF589879:NJF589881 NTB589879:NTB589881 OCX589879:OCX589881 OMT589879:OMT589881 OWP589879:OWP589881 PGL589879:PGL589881 PQH589879:PQH589881 QAD589879:QAD589881 QJZ589879:QJZ589881 QTV589879:QTV589881 RDR589879:RDR589881 RNN589879:RNN589881 RXJ589879:RXJ589881 SHF589879:SHF589881 SRB589879:SRB589881 TAX589879:TAX589881 TKT589879:TKT589881 TUP589879:TUP589881 UEL589879:UEL589881 UOH589879:UOH589881 UYD589879:UYD589881 VHZ589879:VHZ589881 VRV589879:VRV589881 WBR589879:WBR589881 WLN589879:WLN589881 WVJ589879:WVJ589881 B655415:B655417 IX655415:IX655417 ST655415:ST655417 ACP655415:ACP655417 AML655415:AML655417 AWH655415:AWH655417 BGD655415:BGD655417 BPZ655415:BPZ655417 BZV655415:BZV655417 CJR655415:CJR655417 CTN655415:CTN655417 DDJ655415:DDJ655417 DNF655415:DNF655417 DXB655415:DXB655417 EGX655415:EGX655417 EQT655415:EQT655417 FAP655415:FAP655417 FKL655415:FKL655417 FUH655415:FUH655417 GED655415:GED655417 GNZ655415:GNZ655417 GXV655415:GXV655417 HHR655415:HHR655417 HRN655415:HRN655417 IBJ655415:IBJ655417 ILF655415:ILF655417 IVB655415:IVB655417 JEX655415:JEX655417 JOT655415:JOT655417 JYP655415:JYP655417 KIL655415:KIL655417 KSH655415:KSH655417 LCD655415:LCD655417 LLZ655415:LLZ655417 LVV655415:LVV655417 MFR655415:MFR655417 MPN655415:MPN655417 MZJ655415:MZJ655417 NJF655415:NJF655417 NTB655415:NTB655417 OCX655415:OCX655417 OMT655415:OMT655417 OWP655415:OWP655417 PGL655415:PGL655417 PQH655415:PQH655417 QAD655415:QAD655417 QJZ655415:QJZ655417 QTV655415:QTV655417 RDR655415:RDR655417 RNN655415:RNN655417 RXJ655415:RXJ655417 SHF655415:SHF655417 SRB655415:SRB655417 TAX655415:TAX655417 TKT655415:TKT655417 TUP655415:TUP655417 UEL655415:UEL655417 UOH655415:UOH655417 UYD655415:UYD655417 VHZ655415:VHZ655417 VRV655415:VRV655417 WBR655415:WBR655417 WLN655415:WLN655417 WVJ655415:WVJ655417 B720951:B720953 IX720951:IX720953 ST720951:ST720953 ACP720951:ACP720953 AML720951:AML720953 AWH720951:AWH720953 BGD720951:BGD720953 BPZ720951:BPZ720953 BZV720951:BZV720953 CJR720951:CJR720953 CTN720951:CTN720953 DDJ720951:DDJ720953 DNF720951:DNF720953 DXB720951:DXB720953 EGX720951:EGX720953 EQT720951:EQT720953 FAP720951:FAP720953 FKL720951:FKL720953 FUH720951:FUH720953 GED720951:GED720953 GNZ720951:GNZ720953 GXV720951:GXV720953 HHR720951:HHR720953 HRN720951:HRN720953 IBJ720951:IBJ720953 ILF720951:ILF720953 IVB720951:IVB720953 JEX720951:JEX720953 JOT720951:JOT720953 JYP720951:JYP720953 KIL720951:KIL720953 KSH720951:KSH720953 LCD720951:LCD720953 LLZ720951:LLZ720953 LVV720951:LVV720953 MFR720951:MFR720953 MPN720951:MPN720953 MZJ720951:MZJ720953 NJF720951:NJF720953 NTB720951:NTB720953 OCX720951:OCX720953 OMT720951:OMT720953 OWP720951:OWP720953 PGL720951:PGL720953 PQH720951:PQH720953 QAD720951:QAD720953 QJZ720951:QJZ720953 QTV720951:QTV720953 RDR720951:RDR720953 RNN720951:RNN720953 RXJ720951:RXJ720953 SHF720951:SHF720953 SRB720951:SRB720953 TAX720951:TAX720953 TKT720951:TKT720953 TUP720951:TUP720953 UEL720951:UEL720953 UOH720951:UOH720953 UYD720951:UYD720953 VHZ720951:VHZ720953 VRV720951:VRV720953 WBR720951:WBR720953 WLN720951:WLN720953 WVJ720951:WVJ720953 B786487:B786489 IX786487:IX786489 ST786487:ST786489 ACP786487:ACP786489 AML786487:AML786489 AWH786487:AWH786489 BGD786487:BGD786489 BPZ786487:BPZ786489 BZV786487:BZV786489 CJR786487:CJR786489 CTN786487:CTN786489 DDJ786487:DDJ786489 DNF786487:DNF786489 DXB786487:DXB786489 EGX786487:EGX786489 EQT786487:EQT786489 FAP786487:FAP786489 FKL786487:FKL786489 FUH786487:FUH786489 GED786487:GED786489 GNZ786487:GNZ786489 GXV786487:GXV786489 HHR786487:HHR786489 HRN786487:HRN786489 IBJ786487:IBJ786489 ILF786487:ILF786489 IVB786487:IVB786489 JEX786487:JEX786489 JOT786487:JOT786489 JYP786487:JYP786489 KIL786487:KIL786489 KSH786487:KSH786489 LCD786487:LCD786489 LLZ786487:LLZ786489 LVV786487:LVV786489 MFR786487:MFR786489 MPN786487:MPN786489 MZJ786487:MZJ786489 NJF786487:NJF786489 NTB786487:NTB786489 OCX786487:OCX786489 OMT786487:OMT786489 OWP786487:OWP786489 PGL786487:PGL786489 PQH786487:PQH786489 QAD786487:QAD786489 QJZ786487:QJZ786489 QTV786487:QTV786489 RDR786487:RDR786489 RNN786487:RNN786489 RXJ786487:RXJ786489 SHF786487:SHF786489 SRB786487:SRB786489 TAX786487:TAX786489 TKT786487:TKT786489 TUP786487:TUP786489 UEL786487:UEL786489 UOH786487:UOH786489 UYD786487:UYD786489 VHZ786487:VHZ786489 VRV786487:VRV786489 WBR786487:WBR786489 WLN786487:WLN786489 WVJ786487:WVJ786489 B852023:B852025 IX852023:IX852025 ST852023:ST852025 ACP852023:ACP852025 AML852023:AML852025 AWH852023:AWH852025 BGD852023:BGD852025 BPZ852023:BPZ852025 BZV852023:BZV852025 CJR852023:CJR852025 CTN852023:CTN852025 DDJ852023:DDJ852025 DNF852023:DNF852025 DXB852023:DXB852025 EGX852023:EGX852025 EQT852023:EQT852025 FAP852023:FAP852025 FKL852023:FKL852025 FUH852023:FUH852025 GED852023:GED852025 GNZ852023:GNZ852025 GXV852023:GXV852025 HHR852023:HHR852025 HRN852023:HRN852025 IBJ852023:IBJ852025 ILF852023:ILF852025 IVB852023:IVB852025 JEX852023:JEX852025 JOT852023:JOT852025 JYP852023:JYP852025 KIL852023:KIL852025 KSH852023:KSH852025 LCD852023:LCD852025 LLZ852023:LLZ852025 LVV852023:LVV852025 MFR852023:MFR852025 MPN852023:MPN852025 MZJ852023:MZJ852025 NJF852023:NJF852025 NTB852023:NTB852025 OCX852023:OCX852025 OMT852023:OMT852025 OWP852023:OWP852025 PGL852023:PGL852025 PQH852023:PQH852025 QAD852023:QAD852025 QJZ852023:QJZ852025 QTV852023:QTV852025 RDR852023:RDR852025 RNN852023:RNN852025 RXJ852023:RXJ852025 SHF852023:SHF852025 SRB852023:SRB852025 TAX852023:TAX852025 TKT852023:TKT852025 TUP852023:TUP852025 UEL852023:UEL852025 UOH852023:UOH852025 UYD852023:UYD852025 VHZ852023:VHZ852025 VRV852023:VRV852025 WBR852023:WBR852025 WLN852023:WLN852025 WVJ852023:WVJ852025 B917559:B917561 IX917559:IX917561 ST917559:ST917561 ACP917559:ACP917561 AML917559:AML917561 AWH917559:AWH917561 BGD917559:BGD917561 BPZ917559:BPZ917561 BZV917559:BZV917561 CJR917559:CJR917561 CTN917559:CTN917561 DDJ917559:DDJ917561 DNF917559:DNF917561 DXB917559:DXB917561 EGX917559:EGX917561 EQT917559:EQT917561 FAP917559:FAP917561 FKL917559:FKL917561 FUH917559:FUH917561 GED917559:GED917561 GNZ917559:GNZ917561 GXV917559:GXV917561 HHR917559:HHR917561 HRN917559:HRN917561 IBJ917559:IBJ917561 ILF917559:ILF917561 IVB917559:IVB917561 JEX917559:JEX917561 JOT917559:JOT917561 JYP917559:JYP917561 KIL917559:KIL917561 KSH917559:KSH917561 LCD917559:LCD917561 LLZ917559:LLZ917561 LVV917559:LVV917561 MFR917559:MFR917561 MPN917559:MPN917561 MZJ917559:MZJ917561 NJF917559:NJF917561 NTB917559:NTB917561 OCX917559:OCX917561 OMT917559:OMT917561 OWP917559:OWP917561 PGL917559:PGL917561 PQH917559:PQH917561 QAD917559:QAD917561 QJZ917559:QJZ917561 QTV917559:QTV917561 RDR917559:RDR917561 RNN917559:RNN917561 RXJ917559:RXJ917561 SHF917559:SHF917561 SRB917559:SRB917561 TAX917559:TAX917561 TKT917559:TKT917561 TUP917559:TUP917561 UEL917559:UEL917561 UOH917559:UOH917561 UYD917559:UYD917561 VHZ917559:VHZ917561 VRV917559:VRV917561 WBR917559:WBR917561 WLN917559:WLN917561 WVJ917559:WVJ917561 B983095:B983097 IX983095:IX983097 ST983095:ST983097 ACP983095:ACP983097 AML983095:AML983097 AWH983095:AWH983097 BGD983095:BGD983097 BPZ983095:BPZ983097 BZV983095:BZV983097 CJR983095:CJR983097 CTN983095:CTN983097 DDJ983095:DDJ983097 DNF983095:DNF983097 DXB983095:DXB983097 EGX983095:EGX983097 EQT983095:EQT983097 FAP983095:FAP983097 FKL983095:FKL983097 FUH983095:FUH983097 GED983095:GED983097 GNZ983095:GNZ983097 GXV983095:GXV983097 HHR983095:HHR983097 HRN983095:HRN983097 IBJ983095:IBJ983097 ILF983095:ILF983097 IVB983095:IVB983097 JEX983095:JEX983097 JOT983095:JOT983097 JYP983095:JYP983097 KIL983095:KIL983097 KSH983095:KSH983097 LCD983095:LCD983097 LLZ983095:LLZ983097 LVV983095:LVV983097 MFR983095:MFR983097 MPN983095:MPN983097 MZJ983095:MZJ983097 NJF983095:NJF983097 NTB983095:NTB983097 OCX983095:OCX983097 OMT983095:OMT983097 OWP983095:OWP983097 PGL983095:PGL983097 PQH983095:PQH983097 QAD983095:QAD983097 QJZ983095:QJZ983097 QTV983095:QTV983097 RDR983095:RDR983097 RNN983095:RNN983097 RXJ983095:RXJ983097 SHF983095:SHF983097 SRB983095:SRB983097 TAX983095:TAX983097 TKT983095:TKT983097 TUP983095:TUP983097 UEL983095:UEL983097 UOH983095:UOH983097 UYD983095:UYD983097 VHZ983095:VHZ983097 VRV983095:VRV983097 WBR983095:WBR983097 WLN983095:WLN983097 WVJ983095:WVJ983097 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formula1>900</formula1>
    </dataValidation>
  </dataValidations>
  <printOptions horizontalCentered="1"/>
  <pageMargins left="0.3" right="0" top="0.74803149606299213" bottom="0"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3"/>
  <sheetViews>
    <sheetView zoomScale="70" zoomScaleNormal="70" workbookViewId="0">
      <selection activeCell="B19" sqref="B19"/>
    </sheetView>
  </sheetViews>
  <sheetFormatPr defaultRowHeight="15.75" x14ac:dyDescent="0.25"/>
  <cols>
    <col min="1" max="1" width="9.140625" style="39"/>
    <col min="2" max="2" width="39.85546875" style="39" customWidth="1"/>
    <col min="3" max="3" width="10.5703125" style="39" bestFit="1" customWidth="1"/>
    <col min="4" max="4" width="12" style="39" bestFit="1" customWidth="1"/>
    <col min="5" max="5" width="7" style="39" hidden="1" customWidth="1"/>
    <col min="6" max="6" width="8.140625" style="39" hidden="1" customWidth="1"/>
    <col min="7" max="7" width="7" style="39" hidden="1" customWidth="1"/>
    <col min="8" max="8" width="7.28515625" style="39" hidden="1" customWidth="1"/>
    <col min="9" max="9" width="7" style="39" hidden="1" customWidth="1"/>
    <col min="10" max="10" width="7.85546875" style="39" hidden="1" customWidth="1"/>
    <col min="11" max="11" width="7" style="39" hidden="1" customWidth="1"/>
    <col min="12" max="12" width="7.7109375" style="39" hidden="1" customWidth="1"/>
    <col min="13" max="13" width="45.28515625" style="39" customWidth="1"/>
    <col min="14" max="257" width="9.140625" style="39"/>
    <col min="258" max="258" width="39.85546875" style="39" customWidth="1"/>
    <col min="259" max="259" width="10.5703125" style="39" bestFit="1" customWidth="1"/>
    <col min="260" max="260" width="12" style="39" bestFit="1" customWidth="1"/>
    <col min="261" max="268" width="0" style="39" hidden="1" customWidth="1"/>
    <col min="269" max="269" width="45.28515625" style="39" customWidth="1"/>
    <col min="270" max="513" width="9.140625" style="39"/>
    <col min="514" max="514" width="39.85546875" style="39" customWidth="1"/>
    <col min="515" max="515" width="10.5703125" style="39" bestFit="1" customWidth="1"/>
    <col min="516" max="516" width="12" style="39" bestFit="1" customWidth="1"/>
    <col min="517" max="524" width="0" style="39" hidden="1" customWidth="1"/>
    <col min="525" max="525" width="45.28515625" style="39" customWidth="1"/>
    <col min="526" max="769" width="9.140625" style="39"/>
    <col min="770" max="770" width="39.85546875" style="39" customWidth="1"/>
    <col min="771" max="771" width="10.5703125" style="39" bestFit="1" customWidth="1"/>
    <col min="772" max="772" width="12" style="39" bestFit="1" customWidth="1"/>
    <col min="773" max="780" width="0" style="39" hidden="1" customWidth="1"/>
    <col min="781" max="781" width="45.28515625" style="39" customWidth="1"/>
    <col min="782" max="1025" width="9.140625" style="39"/>
    <col min="1026" max="1026" width="39.85546875" style="39" customWidth="1"/>
    <col min="1027" max="1027" width="10.5703125" style="39" bestFit="1" customWidth="1"/>
    <col min="1028" max="1028" width="12" style="39" bestFit="1" customWidth="1"/>
    <col min="1029" max="1036" width="0" style="39" hidden="1" customWidth="1"/>
    <col min="1037" max="1037" width="45.28515625" style="39" customWidth="1"/>
    <col min="1038" max="1281" width="9.140625" style="39"/>
    <col min="1282" max="1282" width="39.85546875" style="39" customWidth="1"/>
    <col min="1283" max="1283" width="10.5703125" style="39" bestFit="1" customWidth="1"/>
    <col min="1284" max="1284" width="12" style="39" bestFit="1" customWidth="1"/>
    <col min="1285" max="1292" width="0" style="39" hidden="1" customWidth="1"/>
    <col min="1293" max="1293" width="45.28515625" style="39" customWidth="1"/>
    <col min="1294" max="1537" width="9.140625" style="39"/>
    <col min="1538" max="1538" width="39.85546875" style="39" customWidth="1"/>
    <col min="1539" max="1539" width="10.5703125" style="39" bestFit="1" customWidth="1"/>
    <col min="1540" max="1540" width="12" style="39" bestFit="1" customWidth="1"/>
    <col min="1541" max="1548" width="0" style="39" hidden="1" customWidth="1"/>
    <col min="1549" max="1549" width="45.28515625" style="39" customWidth="1"/>
    <col min="1550" max="1793" width="9.140625" style="39"/>
    <col min="1794" max="1794" width="39.85546875" style="39" customWidth="1"/>
    <col min="1795" max="1795" width="10.5703125" style="39" bestFit="1" customWidth="1"/>
    <col min="1796" max="1796" width="12" style="39" bestFit="1" customWidth="1"/>
    <col min="1797" max="1804" width="0" style="39" hidden="1" customWidth="1"/>
    <col min="1805" max="1805" width="45.28515625" style="39" customWidth="1"/>
    <col min="1806" max="2049" width="9.140625" style="39"/>
    <col min="2050" max="2050" width="39.85546875" style="39" customWidth="1"/>
    <col min="2051" max="2051" width="10.5703125" style="39" bestFit="1" customWidth="1"/>
    <col min="2052" max="2052" width="12" style="39" bestFit="1" customWidth="1"/>
    <col min="2053" max="2060" width="0" style="39" hidden="1" customWidth="1"/>
    <col min="2061" max="2061" width="45.28515625" style="39" customWidth="1"/>
    <col min="2062" max="2305" width="9.140625" style="39"/>
    <col min="2306" max="2306" width="39.85546875" style="39" customWidth="1"/>
    <col min="2307" max="2307" width="10.5703125" style="39" bestFit="1" customWidth="1"/>
    <col min="2308" max="2308" width="12" style="39" bestFit="1" customWidth="1"/>
    <col min="2309" max="2316" width="0" style="39" hidden="1" customWidth="1"/>
    <col min="2317" max="2317" width="45.28515625" style="39" customWidth="1"/>
    <col min="2318" max="2561" width="9.140625" style="39"/>
    <col min="2562" max="2562" width="39.85546875" style="39" customWidth="1"/>
    <col min="2563" max="2563" width="10.5703125" style="39" bestFit="1" customWidth="1"/>
    <col min="2564" max="2564" width="12" style="39" bestFit="1" customWidth="1"/>
    <col min="2565" max="2572" width="0" style="39" hidden="1" customWidth="1"/>
    <col min="2573" max="2573" width="45.28515625" style="39" customWidth="1"/>
    <col min="2574" max="2817" width="9.140625" style="39"/>
    <col min="2818" max="2818" width="39.85546875" style="39" customWidth="1"/>
    <col min="2819" max="2819" width="10.5703125" style="39" bestFit="1" customWidth="1"/>
    <col min="2820" max="2820" width="12" style="39" bestFit="1" customWidth="1"/>
    <col min="2821" max="2828" width="0" style="39" hidden="1" customWidth="1"/>
    <col min="2829" max="2829" width="45.28515625" style="39" customWidth="1"/>
    <col min="2830" max="3073" width="9.140625" style="39"/>
    <col min="3074" max="3074" width="39.85546875" style="39" customWidth="1"/>
    <col min="3075" max="3075" width="10.5703125" style="39" bestFit="1" customWidth="1"/>
    <col min="3076" max="3076" width="12" style="39" bestFit="1" customWidth="1"/>
    <col min="3077" max="3084" width="0" style="39" hidden="1" customWidth="1"/>
    <col min="3085" max="3085" width="45.28515625" style="39" customWidth="1"/>
    <col min="3086" max="3329" width="9.140625" style="39"/>
    <col min="3330" max="3330" width="39.85546875" style="39" customWidth="1"/>
    <col min="3331" max="3331" width="10.5703125" style="39" bestFit="1" customWidth="1"/>
    <col min="3332" max="3332" width="12" style="39" bestFit="1" customWidth="1"/>
    <col min="3333" max="3340" width="0" style="39" hidden="1" customWidth="1"/>
    <col min="3341" max="3341" width="45.28515625" style="39" customWidth="1"/>
    <col min="3342" max="3585" width="9.140625" style="39"/>
    <col min="3586" max="3586" width="39.85546875" style="39" customWidth="1"/>
    <col min="3587" max="3587" width="10.5703125" style="39" bestFit="1" customWidth="1"/>
    <col min="3588" max="3588" width="12" style="39" bestFit="1" customWidth="1"/>
    <col min="3589" max="3596" width="0" style="39" hidden="1" customWidth="1"/>
    <col min="3597" max="3597" width="45.28515625" style="39" customWidth="1"/>
    <col min="3598" max="3841" width="9.140625" style="39"/>
    <col min="3842" max="3842" width="39.85546875" style="39" customWidth="1"/>
    <col min="3843" max="3843" width="10.5703125" style="39" bestFit="1" customWidth="1"/>
    <col min="3844" max="3844" width="12" style="39" bestFit="1" customWidth="1"/>
    <col min="3845" max="3852" width="0" style="39" hidden="1" customWidth="1"/>
    <col min="3853" max="3853" width="45.28515625" style="39" customWidth="1"/>
    <col min="3854" max="4097" width="9.140625" style="39"/>
    <col min="4098" max="4098" width="39.85546875" style="39" customWidth="1"/>
    <col min="4099" max="4099" width="10.5703125" style="39" bestFit="1" customWidth="1"/>
    <col min="4100" max="4100" width="12" style="39" bestFit="1" customWidth="1"/>
    <col min="4101" max="4108" width="0" style="39" hidden="1" customWidth="1"/>
    <col min="4109" max="4109" width="45.28515625" style="39" customWidth="1"/>
    <col min="4110" max="4353" width="9.140625" style="39"/>
    <col min="4354" max="4354" width="39.85546875" style="39" customWidth="1"/>
    <col min="4355" max="4355" width="10.5703125" style="39" bestFit="1" customWidth="1"/>
    <col min="4356" max="4356" width="12" style="39" bestFit="1" customWidth="1"/>
    <col min="4357" max="4364" width="0" style="39" hidden="1" customWidth="1"/>
    <col min="4365" max="4365" width="45.28515625" style="39" customWidth="1"/>
    <col min="4366" max="4609" width="9.140625" style="39"/>
    <col min="4610" max="4610" width="39.85546875" style="39" customWidth="1"/>
    <col min="4611" max="4611" width="10.5703125" style="39" bestFit="1" customWidth="1"/>
    <col min="4612" max="4612" width="12" style="39" bestFit="1" customWidth="1"/>
    <col min="4613" max="4620" width="0" style="39" hidden="1" customWidth="1"/>
    <col min="4621" max="4621" width="45.28515625" style="39" customWidth="1"/>
    <col min="4622" max="4865" width="9.140625" style="39"/>
    <col min="4866" max="4866" width="39.85546875" style="39" customWidth="1"/>
    <col min="4867" max="4867" width="10.5703125" style="39" bestFit="1" customWidth="1"/>
    <col min="4868" max="4868" width="12" style="39" bestFit="1" customWidth="1"/>
    <col min="4869" max="4876" width="0" style="39" hidden="1" customWidth="1"/>
    <col min="4877" max="4877" width="45.28515625" style="39" customWidth="1"/>
    <col min="4878" max="5121" width="9.140625" style="39"/>
    <col min="5122" max="5122" width="39.85546875" style="39" customWidth="1"/>
    <col min="5123" max="5123" width="10.5703125" style="39" bestFit="1" customWidth="1"/>
    <col min="5124" max="5124" width="12" style="39" bestFit="1" customWidth="1"/>
    <col min="5125" max="5132" width="0" style="39" hidden="1" customWidth="1"/>
    <col min="5133" max="5133" width="45.28515625" style="39" customWidth="1"/>
    <col min="5134" max="5377" width="9.140625" style="39"/>
    <col min="5378" max="5378" width="39.85546875" style="39" customWidth="1"/>
    <col min="5379" max="5379" width="10.5703125" style="39" bestFit="1" customWidth="1"/>
    <col min="5380" max="5380" width="12" style="39" bestFit="1" customWidth="1"/>
    <col min="5381" max="5388" width="0" style="39" hidden="1" customWidth="1"/>
    <col min="5389" max="5389" width="45.28515625" style="39" customWidth="1"/>
    <col min="5390" max="5633" width="9.140625" style="39"/>
    <col min="5634" max="5634" width="39.85546875" style="39" customWidth="1"/>
    <col min="5635" max="5635" width="10.5703125" style="39" bestFit="1" customWidth="1"/>
    <col min="5636" max="5636" width="12" style="39" bestFit="1" customWidth="1"/>
    <col min="5637" max="5644" width="0" style="39" hidden="1" customWidth="1"/>
    <col min="5645" max="5645" width="45.28515625" style="39" customWidth="1"/>
    <col min="5646" max="5889" width="9.140625" style="39"/>
    <col min="5890" max="5890" width="39.85546875" style="39" customWidth="1"/>
    <col min="5891" max="5891" width="10.5703125" style="39" bestFit="1" customWidth="1"/>
    <col min="5892" max="5892" width="12" style="39" bestFit="1" customWidth="1"/>
    <col min="5893" max="5900" width="0" style="39" hidden="1" customWidth="1"/>
    <col min="5901" max="5901" width="45.28515625" style="39" customWidth="1"/>
    <col min="5902" max="6145" width="9.140625" style="39"/>
    <col min="6146" max="6146" width="39.85546875" style="39" customWidth="1"/>
    <col min="6147" max="6147" width="10.5703125" style="39" bestFit="1" customWidth="1"/>
    <col min="6148" max="6148" width="12" style="39" bestFit="1" customWidth="1"/>
    <col min="6149" max="6156" width="0" style="39" hidden="1" customWidth="1"/>
    <col min="6157" max="6157" width="45.28515625" style="39" customWidth="1"/>
    <col min="6158" max="6401" width="9.140625" style="39"/>
    <col min="6402" max="6402" width="39.85546875" style="39" customWidth="1"/>
    <col min="6403" max="6403" width="10.5703125" style="39" bestFit="1" customWidth="1"/>
    <col min="6404" max="6404" width="12" style="39" bestFit="1" customWidth="1"/>
    <col min="6405" max="6412" width="0" style="39" hidden="1" customWidth="1"/>
    <col min="6413" max="6413" width="45.28515625" style="39" customWidth="1"/>
    <col min="6414" max="6657" width="9.140625" style="39"/>
    <col min="6658" max="6658" width="39.85546875" style="39" customWidth="1"/>
    <col min="6659" max="6659" width="10.5703125" style="39" bestFit="1" customWidth="1"/>
    <col min="6660" max="6660" width="12" style="39" bestFit="1" customWidth="1"/>
    <col min="6661" max="6668" width="0" style="39" hidden="1" customWidth="1"/>
    <col min="6669" max="6669" width="45.28515625" style="39" customWidth="1"/>
    <col min="6670" max="6913" width="9.140625" style="39"/>
    <col min="6914" max="6914" width="39.85546875" style="39" customWidth="1"/>
    <col min="6915" max="6915" width="10.5703125" style="39" bestFit="1" customWidth="1"/>
    <col min="6916" max="6916" width="12" style="39" bestFit="1" customWidth="1"/>
    <col min="6917" max="6924" width="0" style="39" hidden="1" customWidth="1"/>
    <col min="6925" max="6925" width="45.28515625" style="39" customWidth="1"/>
    <col min="6926" max="7169" width="9.140625" style="39"/>
    <col min="7170" max="7170" width="39.85546875" style="39" customWidth="1"/>
    <col min="7171" max="7171" width="10.5703125" style="39" bestFit="1" customWidth="1"/>
    <col min="7172" max="7172" width="12" style="39" bestFit="1" customWidth="1"/>
    <col min="7173" max="7180" width="0" style="39" hidden="1" customWidth="1"/>
    <col min="7181" max="7181" width="45.28515625" style="39" customWidth="1"/>
    <col min="7182" max="7425" width="9.140625" style="39"/>
    <col min="7426" max="7426" width="39.85546875" style="39" customWidth="1"/>
    <col min="7427" max="7427" width="10.5703125" style="39" bestFit="1" customWidth="1"/>
    <col min="7428" max="7428" width="12" style="39" bestFit="1" customWidth="1"/>
    <col min="7429" max="7436" width="0" style="39" hidden="1" customWidth="1"/>
    <col min="7437" max="7437" width="45.28515625" style="39" customWidth="1"/>
    <col min="7438" max="7681" width="9.140625" style="39"/>
    <col min="7682" max="7682" width="39.85546875" style="39" customWidth="1"/>
    <col min="7683" max="7683" width="10.5703125" style="39" bestFit="1" customWidth="1"/>
    <col min="7684" max="7684" width="12" style="39" bestFit="1" customWidth="1"/>
    <col min="7685" max="7692" width="0" style="39" hidden="1" customWidth="1"/>
    <col min="7693" max="7693" width="45.28515625" style="39" customWidth="1"/>
    <col min="7694" max="7937" width="9.140625" style="39"/>
    <col min="7938" max="7938" width="39.85546875" style="39" customWidth="1"/>
    <col min="7939" max="7939" width="10.5703125" style="39" bestFit="1" customWidth="1"/>
    <col min="7940" max="7940" width="12" style="39" bestFit="1" customWidth="1"/>
    <col min="7941" max="7948" width="0" style="39" hidden="1" customWidth="1"/>
    <col min="7949" max="7949" width="45.28515625" style="39" customWidth="1"/>
    <col min="7950" max="8193" width="9.140625" style="39"/>
    <col min="8194" max="8194" width="39.85546875" style="39" customWidth="1"/>
    <col min="8195" max="8195" width="10.5703125" style="39" bestFit="1" customWidth="1"/>
    <col min="8196" max="8196" width="12" style="39" bestFit="1" customWidth="1"/>
    <col min="8197" max="8204" width="0" style="39" hidden="1" customWidth="1"/>
    <col min="8205" max="8205" width="45.28515625" style="39" customWidth="1"/>
    <col min="8206" max="8449" width="9.140625" style="39"/>
    <col min="8450" max="8450" width="39.85546875" style="39" customWidth="1"/>
    <col min="8451" max="8451" width="10.5703125" style="39" bestFit="1" customWidth="1"/>
    <col min="8452" max="8452" width="12" style="39" bestFit="1" customWidth="1"/>
    <col min="8453" max="8460" width="0" style="39" hidden="1" customWidth="1"/>
    <col min="8461" max="8461" width="45.28515625" style="39" customWidth="1"/>
    <col min="8462" max="8705" width="9.140625" style="39"/>
    <col min="8706" max="8706" width="39.85546875" style="39" customWidth="1"/>
    <col min="8707" max="8707" width="10.5703125" style="39" bestFit="1" customWidth="1"/>
    <col min="8708" max="8708" width="12" style="39" bestFit="1" customWidth="1"/>
    <col min="8709" max="8716" width="0" style="39" hidden="1" customWidth="1"/>
    <col min="8717" max="8717" width="45.28515625" style="39" customWidth="1"/>
    <col min="8718" max="8961" width="9.140625" style="39"/>
    <col min="8962" max="8962" width="39.85546875" style="39" customWidth="1"/>
    <col min="8963" max="8963" width="10.5703125" style="39" bestFit="1" customWidth="1"/>
    <col min="8964" max="8964" width="12" style="39" bestFit="1" customWidth="1"/>
    <col min="8965" max="8972" width="0" style="39" hidden="1" customWidth="1"/>
    <col min="8973" max="8973" width="45.28515625" style="39" customWidth="1"/>
    <col min="8974" max="9217" width="9.140625" style="39"/>
    <col min="9218" max="9218" width="39.85546875" style="39" customWidth="1"/>
    <col min="9219" max="9219" width="10.5703125" style="39" bestFit="1" customWidth="1"/>
    <col min="9220" max="9220" width="12" style="39" bestFit="1" customWidth="1"/>
    <col min="9221" max="9228" width="0" style="39" hidden="1" customWidth="1"/>
    <col min="9229" max="9229" width="45.28515625" style="39" customWidth="1"/>
    <col min="9230" max="9473" width="9.140625" style="39"/>
    <col min="9474" max="9474" width="39.85546875" style="39" customWidth="1"/>
    <col min="9475" max="9475" width="10.5703125" style="39" bestFit="1" customWidth="1"/>
    <col min="9476" max="9476" width="12" style="39" bestFit="1" customWidth="1"/>
    <col min="9477" max="9484" width="0" style="39" hidden="1" customWidth="1"/>
    <col min="9485" max="9485" width="45.28515625" style="39" customWidth="1"/>
    <col min="9486" max="9729" width="9.140625" style="39"/>
    <col min="9730" max="9730" width="39.85546875" style="39" customWidth="1"/>
    <col min="9731" max="9731" width="10.5703125" style="39" bestFit="1" customWidth="1"/>
    <col min="9732" max="9732" width="12" style="39" bestFit="1" customWidth="1"/>
    <col min="9733" max="9740" width="0" style="39" hidden="1" customWidth="1"/>
    <col min="9741" max="9741" width="45.28515625" style="39" customWidth="1"/>
    <col min="9742" max="9985" width="9.140625" style="39"/>
    <col min="9986" max="9986" width="39.85546875" style="39" customWidth="1"/>
    <col min="9987" max="9987" width="10.5703125" style="39" bestFit="1" customWidth="1"/>
    <col min="9988" max="9988" width="12" style="39" bestFit="1" customWidth="1"/>
    <col min="9989" max="9996" width="0" style="39" hidden="1" customWidth="1"/>
    <col min="9997" max="9997" width="45.28515625" style="39" customWidth="1"/>
    <col min="9998" max="10241" width="9.140625" style="39"/>
    <col min="10242" max="10242" width="39.85546875" style="39" customWidth="1"/>
    <col min="10243" max="10243" width="10.5703125" style="39" bestFit="1" customWidth="1"/>
    <col min="10244" max="10244" width="12" style="39" bestFit="1" customWidth="1"/>
    <col min="10245" max="10252" width="0" style="39" hidden="1" customWidth="1"/>
    <col min="10253" max="10253" width="45.28515625" style="39" customWidth="1"/>
    <col min="10254" max="10497" width="9.140625" style="39"/>
    <col min="10498" max="10498" width="39.85546875" style="39" customWidth="1"/>
    <col min="10499" max="10499" width="10.5703125" style="39" bestFit="1" customWidth="1"/>
    <col min="10500" max="10500" width="12" style="39" bestFit="1" customWidth="1"/>
    <col min="10501" max="10508" width="0" style="39" hidden="1" customWidth="1"/>
    <col min="10509" max="10509" width="45.28515625" style="39" customWidth="1"/>
    <col min="10510" max="10753" width="9.140625" style="39"/>
    <col min="10754" max="10754" width="39.85546875" style="39" customWidth="1"/>
    <col min="10755" max="10755" width="10.5703125" style="39" bestFit="1" customWidth="1"/>
    <col min="10756" max="10756" width="12" style="39" bestFit="1" customWidth="1"/>
    <col min="10757" max="10764" width="0" style="39" hidden="1" customWidth="1"/>
    <col min="10765" max="10765" width="45.28515625" style="39" customWidth="1"/>
    <col min="10766" max="11009" width="9.140625" style="39"/>
    <col min="11010" max="11010" width="39.85546875" style="39" customWidth="1"/>
    <col min="11011" max="11011" width="10.5703125" style="39" bestFit="1" customWidth="1"/>
    <col min="11012" max="11012" width="12" style="39" bestFit="1" customWidth="1"/>
    <col min="11013" max="11020" width="0" style="39" hidden="1" customWidth="1"/>
    <col min="11021" max="11021" width="45.28515625" style="39" customWidth="1"/>
    <col min="11022" max="11265" width="9.140625" style="39"/>
    <col min="11266" max="11266" width="39.85546875" style="39" customWidth="1"/>
    <col min="11267" max="11267" width="10.5703125" style="39" bestFit="1" customWidth="1"/>
    <col min="11268" max="11268" width="12" style="39" bestFit="1" customWidth="1"/>
    <col min="11269" max="11276" width="0" style="39" hidden="1" customWidth="1"/>
    <col min="11277" max="11277" width="45.28515625" style="39" customWidth="1"/>
    <col min="11278" max="11521" width="9.140625" style="39"/>
    <col min="11522" max="11522" width="39.85546875" style="39" customWidth="1"/>
    <col min="11523" max="11523" width="10.5703125" style="39" bestFit="1" customWidth="1"/>
    <col min="11524" max="11524" width="12" style="39" bestFit="1" customWidth="1"/>
    <col min="11525" max="11532" width="0" style="39" hidden="1" customWidth="1"/>
    <col min="11533" max="11533" width="45.28515625" style="39" customWidth="1"/>
    <col min="11534" max="11777" width="9.140625" style="39"/>
    <col min="11778" max="11778" width="39.85546875" style="39" customWidth="1"/>
    <col min="11779" max="11779" width="10.5703125" style="39" bestFit="1" customWidth="1"/>
    <col min="11780" max="11780" width="12" style="39" bestFit="1" customWidth="1"/>
    <col min="11781" max="11788" width="0" style="39" hidden="1" customWidth="1"/>
    <col min="11789" max="11789" width="45.28515625" style="39" customWidth="1"/>
    <col min="11790" max="12033" width="9.140625" style="39"/>
    <col min="12034" max="12034" width="39.85546875" style="39" customWidth="1"/>
    <col min="12035" max="12035" width="10.5703125" style="39" bestFit="1" customWidth="1"/>
    <col min="12036" max="12036" width="12" style="39" bestFit="1" customWidth="1"/>
    <col min="12037" max="12044" width="0" style="39" hidden="1" customWidth="1"/>
    <col min="12045" max="12045" width="45.28515625" style="39" customWidth="1"/>
    <col min="12046" max="12289" width="9.140625" style="39"/>
    <col min="12290" max="12290" width="39.85546875" style="39" customWidth="1"/>
    <col min="12291" max="12291" width="10.5703125" style="39" bestFit="1" customWidth="1"/>
    <col min="12292" max="12292" width="12" style="39" bestFit="1" customWidth="1"/>
    <col min="12293" max="12300" width="0" style="39" hidden="1" customWidth="1"/>
    <col min="12301" max="12301" width="45.28515625" style="39" customWidth="1"/>
    <col min="12302" max="12545" width="9.140625" style="39"/>
    <col min="12546" max="12546" width="39.85546875" style="39" customWidth="1"/>
    <col min="12547" max="12547" width="10.5703125" style="39" bestFit="1" customWidth="1"/>
    <col min="12548" max="12548" width="12" style="39" bestFit="1" customWidth="1"/>
    <col min="12549" max="12556" width="0" style="39" hidden="1" customWidth="1"/>
    <col min="12557" max="12557" width="45.28515625" style="39" customWidth="1"/>
    <col min="12558" max="12801" width="9.140625" style="39"/>
    <col min="12802" max="12802" width="39.85546875" style="39" customWidth="1"/>
    <col min="12803" max="12803" width="10.5703125" style="39" bestFit="1" customWidth="1"/>
    <col min="12804" max="12804" width="12" style="39" bestFit="1" customWidth="1"/>
    <col min="12805" max="12812" width="0" style="39" hidden="1" customWidth="1"/>
    <col min="12813" max="12813" width="45.28515625" style="39" customWidth="1"/>
    <col min="12814" max="13057" width="9.140625" style="39"/>
    <col min="13058" max="13058" width="39.85546875" style="39" customWidth="1"/>
    <col min="13059" max="13059" width="10.5703125" style="39" bestFit="1" customWidth="1"/>
    <col min="13060" max="13060" width="12" style="39" bestFit="1" customWidth="1"/>
    <col min="13061" max="13068" width="0" style="39" hidden="1" customWidth="1"/>
    <col min="13069" max="13069" width="45.28515625" style="39" customWidth="1"/>
    <col min="13070" max="13313" width="9.140625" style="39"/>
    <col min="13314" max="13314" width="39.85546875" style="39" customWidth="1"/>
    <col min="13315" max="13315" width="10.5703125" style="39" bestFit="1" customWidth="1"/>
    <col min="13316" max="13316" width="12" style="39" bestFit="1" customWidth="1"/>
    <col min="13317" max="13324" width="0" style="39" hidden="1" customWidth="1"/>
    <col min="13325" max="13325" width="45.28515625" style="39" customWidth="1"/>
    <col min="13326" max="13569" width="9.140625" style="39"/>
    <col min="13570" max="13570" width="39.85546875" style="39" customWidth="1"/>
    <col min="13571" max="13571" width="10.5703125" style="39" bestFit="1" customWidth="1"/>
    <col min="13572" max="13572" width="12" style="39" bestFit="1" customWidth="1"/>
    <col min="13573" max="13580" width="0" style="39" hidden="1" customWidth="1"/>
    <col min="13581" max="13581" width="45.28515625" style="39" customWidth="1"/>
    <col min="13582" max="13825" width="9.140625" style="39"/>
    <col min="13826" max="13826" width="39.85546875" style="39" customWidth="1"/>
    <col min="13827" max="13827" width="10.5703125" style="39" bestFit="1" customWidth="1"/>
    <col min="13828" max="13828" width="12" style="39" bestFit="1" customWidth="1"/>
    <col min="13829" max="13836" width="0" style="39" hidden="1" customWidth="1"/>
    <col min="13837" max="13837" width="45.28515625" style="39" customWidth="1"/>
    <col min="13838" max="14081" width="9.140625" style="39"/>
    <col min="14082" max="14082" width="39.85546875" style="39" customWidth="1"/>
    <col min="14083" max="14083" width="10.5703125" style="39" bestFit="1" customWidth="1"/>
    <col min="14084" max="14084" width="12" style="39" bestFit="1" customWidth="1"/>
    <col min="14085" max="14092" width="0" style="39" hidden="1" customWidth="1"/>
    <col min="14093" max="14093" width="45.28515625" style="39" customWidth="1"/>
    <col min="14094" max="14337" width="9.140625" style="39"/>
    <col min="14338" max="14338" width="39.85546875" style="39" customWidth="1"/>
    <col min="14339" max="14339" width="10.5703125" style="39" bestFit="1" customWidth="1"/>
    <col min="14340" max="14340" width="12" style="39" bestFit="1" customWidth="1"/>
    <col min="14341" max="14348" width="0" style="39" hidden="1" customWidth="1"/>
    <col min="14349" max="14349" width="45.28515625" style="39" customWidth="1"/>
    <col min="14350" max="14593" width="9.140625" style="39"/>
    <col min="14594" max="14594" width="39.85546875" style="39" customWidth="1"/>
    <col min="14595" max="14595" width="10.5703125" style="39" bestFit="1" customWidth="1"/>
    <col min="14596" max="14596" width="12" style="39" bestFit="1" customWidth="1"/>
    <col min="14597" max="14604" width="0" style="39" hidden="1" customWidth="1"/>
    <col min="14605" max="14605" width="45.28515625" style="39" customWidth="1"/>
    <col min="14606" max="14849" width="9.140625" style="39"/>
    <col min="14850" max="14850" width="39.85546875" style="39" customWidth="1"/>
    <col min="14851" max="14851" width="10.5703125" style="39" bestFit="1" customWidth="1"/>
    <col min="14852" max="14852" width="12" style="39" bestFit="1" customWidth="1"/>
    <col min="14853" max="14860" width="0" style="39" hidden="1" customWidth="1"/>
    <col min="14861" max="14861" width="45.28515625" style="39" customWidth="1"/>
    <col min="14862" max="15105" width="9.140625" style="39"/>
    <col min="15106" max="15106" width="39.85546875" style="39" customWidth="1"/>
    <col min="15107" max="15107" width="10.5703125" style="39" bestFit="1" customWidth="1"/>
    <col min="15108" max="15108" width="12" style="39" bestFit="1" customWidth="1"/>
    <col min="15109" max="15116" width="0" style="39" hidden="1" customWidth="1"/>
    <col min="15117" max="15117" width="45.28515625" style="39" customWidth="1"/>
    <col min="15118" max="15361" width="9.140625" style="39"/>
    <col min="15362" max="15362" width="39.85546875" style="39" customWidth="1"/>
    <col min="15363" max="15363" width="10.5703125" style="39" bestFit="1" customWidth="1"/>
    <col min="15364" max="15364" width="12" style="39" bestFit="1" customWidth="1"/>
    <col min="15365" max="15372" width="0" style="39" hidden="1" customWidth="1"/>
    <col min="15373" max="15373" width="45.28515625" style="39" customWidth="1"/>
    <col min="15374" max="15617" width="9.140625" style="39"/>
    <col min="15618" max="15618" width="39.85546875" style="39" customWidth="1"/>
    <col min="15619" max="15619" width="10.5703125" style="39" bestFit="1" customWidth="1"/>
    <col min="15620" max="15620" width="12" style="39" bestFit="1" customWidth="1"/>
    <col min="15621" max="15628" width="0" style="39" hidden="1" customWidth="1"/>
    <col min="15629" max="15629" width="45.28515625" style="39" customWidth="1"/>
    <col min="15630" max="15873" width="9.140625" style="39"/>
    <col min="15874" max="15874" width="39.85546875" style="39" customWidth="1"/>
    <col min="15875" max="15875" width="10.5703125" style="39" bestFit="1" customWidth="1"/>
    <col min="15876" max="15876" width="12" style="39" bestFit="1" customWidth="1"/>
    <col min="15877" max="15884" width="0" style="39" hidden="1" customWidth="1"/>
    <col min="15885" max="15885" width="45.28515625" style="39" customWidth="1"/>
    <col min="15886" max="16129" width="9.140625" style="39"/>
    <col min="16130" max="16130" width="39.85546875" style="39" customWidth="1"/>
    <col min="16131" max="16131" width="10.5703125" style="39" bestFit="1" customWidth="1"/>
    <col min="16132" max="16132" width="12" style="39" bestFit="1" customWidth="1"/>
    <col min="16133" max="16140" width="0" style="39" hidden="1" customWidth="1"/>
    <col min="16141" max="16141" width="45.28515625" style="39" customWidth="1"/>
    <col min="16142" max="16384" width="9.140625" style="39"/>
  </cols>
  <sheetData>
    <row r="2" spans="1:15" x14ac:dyDescent="0.25">
      <c r="M2" s="27" t="s">
        <v>146</v>
      </c>
    </row>
    <row r="3" spans="1:15" x14ac:dyDescent="0.25">
      <c r="M3" s="27" t="s">
        <v>0</v>
      </c>
    </row>
    <row r="4" spans="1:15" x14ac:dyDescent="0.25">
      <c r="M4" s="27" t="s">
        <v>99</v>
      </c>
    </row>
    <row r="5" spans="1:15" x14ac:dyDescent="0.25">
      <c r="M5" s="45"/>
    </row>
    <row r="6" spans="1:15" ht="34.5" customHeight="1" x14ac:dyDescent="0.25">
      <c r="A6" s="110" t="s">
        <v>148</v>
      </c>
      <c r="B6" s="111"/>
      <c r="C6" s="111"/>
      <c r="D6" s="111"/>
      <c r="E6" s="111"/>
      <c r="F6" s="111"/>
      <c r="G6" s="111"/>
      <c r="H6" s="111"/>
      <c r="I6" s="111"/>
      <c r="J6" s="111"/>
      <c r="K6" s="111"/>
      <c r="L6" s="111"/>
      <c r="M6" s="111"/>
      <c r="N6" s="120"/>
      <c r="O6" s="120"/>
    </row>
    <row r="7" spans="1:15" x14ac:dyDescent="0.25">
      <c r="A7" s="53"/>
      <c r="B7" s="53"/>
      <c r="C7" s="53"/>
      <c r="D7" s="53"/>
      <c r="E7" s="53"/>
      <c r="F7" s="53"/>
      <c r="G7" s="53"/>
      <c r="H7" s="53"/>
      <c r="I7" s="53"/>
      <c r="J7" s="53"/>
      <c r="K7" s="53"/>
      <c r="L7" s="53"/>
      <c r="M7" s="53"/>
      <c r="N7" s="60"/>
      <c r="O7" s="60"/>
    </row>
    <row r="8" spans="1:15" x14ac:dyDescent="0.25">
      <c r="M8" s="45" t="s">
        <v>1</v>
      </c>
    </row>
    <row r="9" spans="1:15" x14ac:dyDescent="0.25">
      <c r="M9" s="45" t="s">
        <v>2</v>
      </c>
    </row>
    <row r="10" spans="1:15" x14ac:dyDescent="0.25">
      <c r="M10" s="45"/>
    </row>
    <row r="11" spans="1:15" x14ac:dyDescent="0.25">
      <c r="M11" s="46" t="s">
        <v>3</v>
      </c>
    </row>
    <row r="12" spans="1:15" x14ac:dyDescent="0.25">
      <c r="M12" s="45" t="s">
        <v>155</v>
      </c>
    </row>
    <row r="13" spans="1:15" x14ac:dyDescent="0.25">
      <c r="M13" s="45" t="s">
        <v>4</v>
      </c>
    </row>
    <row r="14" spans="1:15" ht="16.5" thickBot="1" x14ac:dyDescent="0.3">
      <c r="A14" s="47"/>
      <c r="M14" s="45"/>
      <c r="N14" s="60"/>
      <c r="O14" s="60"/>
    </row>
    <row r="15" spans="1:15" ht="32.25" customHeight="1" x14ac:dyDescent="0.25">
      <c r="A15" s="121" t="s">
        <v>5</v>
      </c>
      <c r="B15" s="124" t="s">
        <v>100</v>
      </c>
      <c r="C15" s="124" t="s">
        <v>8</v>
      </c>
      <c r="D15" s="124"/>
      <c r="E15" s="124"/>
      <c r="F15" s="124"/>
      <c r="G15" s="124"/>
      <c r="H15" s="124"/>
      <c r="I15" s="124"/>
      <c r="J15" s="124"/>
      <c r="K15" s="124"/>
      <c r="L15" s="124"/>
      <c r="M15" s="126" t="s">
        <v>13</v>
      </c>
    </row>
    <row r="16" spans="1:15" x14ac:dyDescent="0.25">
      <c r="A16" s="122"/>
      <c r="B16" s="119"/>
      <c r="C16" s="119" t="s">
        <v>186</v>
      </c>
      <c r="D16" s="119"/>
      <c r="E16" s="119" t="s">
        <v>14</v>
      </c>
      <c r="F16" s="119"/>
      <c r="G16" s="119" t="s">
        <v>15</v>
      </c>
      <c r="H16" s="119"/>
      <c r="I16" s="119" t="s">
        <v>16</v>
      </c>
      <c r="J16" s="119"/>
      <c r="K16" s="119" t="s">
        <v>17</v>
      </c>
      <c r="L16" s="119"/>
      <c r="M16" s="127"/>
    </row>
    <row r="17" spans="1:18" ht="16.5" thickBot="1" x14ac:dyDescent="0.3">
      <c r="A17" s="123"/>
      <c r="B17" s="125"/>
      <c r="C17" s="61" t="s">
        <v>101</v>
      </c>
      <c r="D17" s="61" t="s">
        <v>102</v>
      </c>
      <c r="E17" s="61" t="s">
        <v>23</v>
      </c>
      <c r="F17" s="61" t="s">
        <v>24</v>
      </c>
      <c r="G17" s="61" t="s">
        <v>23</v>
      </c>
      <c r="H17" s="61" t="s">
        <v>24</v>
      </c>
      <c r="I17" s="61" t="s">
        <v>23</v>
      </c>
      <c r="J17" s="61" t="s">
        <v>24</v>
      </c>
      <c r="K17" s="61" t="s">
        <v>23</v>
      </c>
      <c r="L17" s="61" t="s">
        <v>24</v>
      </c>
      <c r="M17" s="128"/>
    </row>
    <row r="18" spans="1:18" s="47" customFormat="1" x14ac:dyDescent="0.25">
      <c r="A18" s="62">
        <v>1</v>
      </c>
      <c r="B18" s="63" t="s">
        <v>103</v>
      </c>
      <c r="C18" s="64">
        <f>C19+C26+C30+C31+C33</f>
        <v>163.643</v>
      </c>
      <c r="D18" s="64">
        <f>D19+D26+D30+D31+D33</f>
        <v>168.24902610000001</v>
      </c>
      <c r="E18" s="64">
        <f>E19+E26+E30+E31+E33</f>
        <v>9.1107457627118649</v>
      </c>
      <c r="F18" s="64">
        <f>F19+F26+F30+F31+F33</f>
        <v>16.634452260000003</v>
      </c>
      <c r="G18" s="64">
        <f t="shared" ref="G18:L18" si="0">G19+G26+G30+G31+G33</f>
        <v>23.45</v>
      </c>
      <c r="H18" s="64">
        <f t="shared" si="0"/>
        <v>21.276889990000001</v>
      </c>
      <c r="I18" s="64">
        <f t="shared" si="0"/>
        <v>0</v>
      </c>
      <c r="J18" s="64">
        <f t="shared" si="0"/>
        <v>28.476031450000004</v>
      </c>
      <c r="K18" s="64">
        <f t="shared" si="0"/>
        <v>0</v>
      </c>
      <c r="L18" s="64">
        <f t="shared" si="0"/>
        <v>101.86165240000001</v>
      </c>
      <c r="M18" s="65"/>
      <c r="N18" s="66"/>
      <c r="O18" s="66"/>
    </row>
    <row r="19" spans="1:18" ht="31.5" x14ac:dyDescent="0.25">
      <c r="A19" s="67" t="s">
        <v>32</v>
      </c>
      <c r="B19" s="59" t="s">
        <v>104</v>
      </c>
      <c r="C19" s="55">
        <f>C20+C21+C22+C25</f>
        <v>9.7219999999999995</v>
      </c>
      <c r="D19" s="55">
        <f>D20+D21+D22+D25</f>
        <v>13.875435339999999</v>
      </c>
      <c r="E19" s="55">
        <f t="shared" ref="E19:L19" si="1">E20+E21+E22+E25</f>
        <v>1.6949152542372883</v>
      </c>
      <c r="F19" s="55">
        <f t="shared" si="1"/>
        <v>2.0520882699999996</v>
      </c>
      <c r="G19" s="55">
        <f t="shared" si="1"/>
        <v>3.8500000000000005</v>
      </c>
      <c r="H19" s="55">
        <f t="shared" si="1"/>
        <v>2.4168559900000002</v>
      </c>
      <c r="I19" s="55">
        <f t="shared" si="1"/>
        <v>0</v>
      </c>
      <c r="J19" s="55">
        <f t="shared" si="1"/>
        <v>2.2153512399999999</v>
      </c>
      <c r="K19" s="55">
        <f t="shared" si="1"/>
        <v>0</v>
      </c>
      <c r="L19" s="55">
        <f t="shared" si="1"/>
        <v>7.1911398400000008</v>
      </c>
      <c r="M19" s="68"/>
    </row>
    <row r="20" spans="1:18" ht="31.5" x14ac:dyDescent="0.25">
      <c r="A20" s="67" t="s">
        <v>105</v>
      </c>
      <c r="B20" s="59" t="s">
        <v>106</v>
      </c>
      <c r="C20" s="55">
        <f>E20+G20+I20+K20</f>
        <v>0</v>
      </c>
      <c r="D20" s="55">
        <f>F20+H20+J20+L20</f>
        <v>0</v>
      </c>
      <c r="E20" s="55"/>
      <c r="F20" s="55"/>
      <c r="G20" s="55"/>
      <c r="H20" s="55"/>
      <c r="I20" s="55"/>
      <c r="J20" s="55"/>
      <c r="K20" s="55"/>
      <c r="L20" s="55"/>
      <c r="M20" s="68"/>
    </row>
    <row r="21" spans="1:18" x14ac:dyDescent="0.25">
      <c r="A21" s="67" t="s">
        <v>107</v>
      </c>
      <c r="B21" s="59" t="s">
        <v>108</v>
      </c>
      <c r="C21" s="55">
        <f>E21+G21+I21+K21</f>
        <v>0</v>
      </c>
      <c r="D21" s="55">
        <f>F21+H21+J21+L21</f>
        <v>0</v>
      </c>
      <c r="E21" s="55"/>
      <c r="F21" s="55"/>
      <c r="G21" s="55"/>
      <c r="H21" s="55"/>
      <c r="I21" s="55"/>
      <c r="J21" s="55"/>
      <c r="K21" s="55"/>
      <c r="L21" s="55"/>
      <c r="M21" s="68"/>
    </row>
    <row r="22" spans="1:18" ht="47.25" x14ac:dyDescent="0.25">
      <c r="A22" s="67" t="s">
        <v>109</v>
      </c>
      <c r="B22" s="59" t="s">
        <v>110</v>
      </c>
      <c r="C22" s="55">
        <f t="shared" ref="C22:L22" si="2">C23+C24</f>
        <v>0</v>
      </c>
      <c r="D22" s="55">
        <f t="shared" si="2"/>
        <v>0</v>
      </c>
      <c r="E22" s="55">
        <f t="shared" si="2"/>
        <v>0</v>
      </c>
      <c r="F22" s="55">
        <f t="shared" si="2"/>
        <v>0</v>
      </c>
      <c r="G22" s="55">
        <f t="shared" si="2"/>
        <v>0</v>
      </c>
      <c r="H22" s="55">
        <f t="shared" si="2"/>
        <v>0</v>
      </c>
      <c r="I22" s="55">
        <f t="shared" si="2"/>
        <v>0</v>
      </c>
      <c r="J22" s="55">
        <f t="shared" si="2"/>
        <v>0</v>
      </c>
      <c r="K22" s="55">
        <f t="shared" si="2"/>
        <v>0</v>
      </c>
      <c r="L22" s="55">
        <f t="shared" si="2"/>
        <v>0</v>
      </c>
      <c r="M22" s="68"/>
    </row>
    <row r="23" spans="1:18" ht="31.5" x14ac:dyDescent="0.25">
      <c r="A23" s="67" t="s">
        <v>111</v>
      </c>
      <c r="B23" s="59" t="s">
        <v>112</v>
      </c>
      <c r="C23" s="55">
        <f t="shared" ref="C23:D33" si="3">E23+G23+I23+K23</f>
        <v>0</v>
      </c>
      <c r="D23" s="55">
        <f t="shared" si="3"/>
        <v>0</v>
      </c>
      <c r="E23" s="54"/>
      <c r="F23" s="54"/>
      <c r="G23" s="54"/>
      <c r="H23" s="54"/>
      <c r="I23" s="54"/>
      <c r="J23" s="54"/>
      <c r="K23" s="55"/>
      <c r="L23" s="55"/>
      <c r="M23" s="68"/>
    </row>
    <row r="24" spans="1:18" ht="31.5" x14ac:dyDescent="0.25">
      <c r="A24" s="67" t="s">
        <v>113</v>
      </c>
      <c r="B24" s="59" t="s">
        <v>114</v>
      </c>
      <c r="C24" s="55">
        <f>E24+G24+I24+K24</f>
        <v>0</v>
      </c>
      <c r="D24" s="55">
        <v>0</v>
      </c>
      <c r="E24" s="55"/>
      <c r="F24" s="55"/>
      <c r="G24" s="55"/>
      <c r="H24" s="55"/>
      <c r="I24" s="55"/>
      <c r="J24" s="55"/>
      <c r="K24" s="55"/>
      <c r="L24" s="55"/>
      <c r="M24" s="69" t="s">
        <v>115</v>
      </c>
    </row>
    <row r="25" spans="1:18" ht="31.5" x14ac:dyDescent="0.25">
      <c r="A25" s="67" t="s">
        <v>116</v>
      </c>
      <c r="B25" s="59" t="s">
        <v>117</v>
      </c>
      <c r="C25" s="55">
        <f>'[2]приложение 7.1'!D73/1.18</f>
        <v>9.7219999999999995</v>
      </c>
      <c r="D25" s="55">
        <f t="shared" si="3"/>
        <v>13.875435339999999</v>
      </c>
      <c r="E25" s="55">
        <f>'6.1'!F73/1.18</f>
        <v>1.6949152542372883</v>
      </c>
      <c r="F25" s="55">
        <f>'6.1'!G73/1.18</f>
        <v>2.0520882699999996</v>
      </c>
      <c r="G25" s="55">
        <f>'6.1'!H73/1.18</f>
        <v>3.8500000000000005</v>
      </c>
      <c r="H25" s="55">
        <f>'6.1'!I73/1.18</f>
        <v>2.4168559900000002</v>
      </c>
      <c r="I25" s="55">
        <f>'6.1'!J73/1.18</f>
        <v>0</v>
      </c>
      <c r="J25" s="55">
        <f>'6.1'!K73/1.18</f>
        <v>2.2153512399999999</v>
      </c>
      <c r="K25" s="55">
        <f>'6.1'!L73/1.18</f>
        <v>0</v>
      </c>
      <c r="L25" s="55">
        <f>'6.1'!M73/1.18</f>
        <v>7.1911398400000008</v>
      </c>
      <c r="M25" s="68"/>
    </row>
    <row r="26" spans="1:18" x14ac:dyDescent="0.25">
      <c r="A26" s="67" t="s">
        <v>40</v>
      </c>
      <c r="B26" s="59" t="s">
        <v>118</v>
      </c>
      <c r="C26" s="55">
        <f>C27</f>
        <v>153.92099999999999</v>
      </c>
      <c r="D26" s="55">
        <f t="shared" si="3"/>
        <v>154.37359076000001</v>
      </c>
      <c r="E26" s="55">
        <f>E27</f>
        <v>7.4158305084745759</v>
      </c>
      <c r="F26" s="55">
        <f>F27</f>
        <v>14.582363990000003</v>
      </c>
      <c r="G26" s="55">
        <f t="shared" ref="G26:L26" si="4">G27</f>
        <v>19.599999999999998</v>
      </c>
      <c r="H26" s="55">
        <f t="shared" si="4"/>
        <v>18.860033999999999</v>
      </c>
      <c r="I26" s="55">
        <f t="shared" si="4"/>
        <v>0</v>
      </c>
      <c r="J26" s="55">
        <f t="shared" si="4"/>
        <v>26.260680210000004</v>
      </c>
      <c r="K26" s="55">
        <f t="shared" si="4"/>
        <v>0</v>
      </c>
      <c r="L26" s="55">
        <f t="shared" si="4"/>
        <v>94.670512560000006</v>
      </c>
      <c r="M26" s="68"/>
    </row>
    <row r="27" spans="1:18" x14ac:dyDescent="0.25">
      <c r="A27" s="67" t="s">
        <v>119</v>
      </c>
      <c r="B27" s="59" t="s">
        <v>120</v>
      </c>
      <c r="C27" s="55">
        <f>('[2]приложение 7.1'!D18-'[2]приложение 7.1'!D73)/1.18</f>
        <v>153.92099999999999</v>
      </c>
      <c r="D27" s="55">
        <f t="shared" si="3"/>
        <v>154.37359076000001</v>
      </c>
      <c r="E27" s="55">
        <f>('6.1'!F18-'6.1'!F73)/1.18</f>
        <v>7.4158305084745759</v>
      </c>
      <c r="F27" s="55">
        <f>('6.1'!G18-'6.1'!G73-'6.1'!G74)/1.18</f>
        <v>14.582363990000003</v>
      </c>
      <c r="G27" s="55">
        <f>('6.1'!H18-'6.1'!H73)/1.18</f>
        <v>19.599999999999998</v>
      </c>
      <c r="H27" s="55">
        <f>('6.1'!I18-'6.1'!I73-'6.1'!I74)/1.18</f>
        <v>18.860033999999999</v>
      </c>
      <c r="I27" s="55">
        <f>('6.1'!J18-'6.1'!J73)/1.18</f>
        <v>0</v>
      </c>
      <c r="J27" s="55">
        <f>('6.1'!K18-'6.1'!K73-'6.1'!K74)/1.18</f>
        <v>26.260680210000004</v>
      </c>
      <c r="K27" s="55">
        <f>('6.1'!L18-'6.1'!L73)/1.18</f>
        <v>0</v>
      </c>
      <c r="L27" s="55">
        <f>('6.1'!M18-'6.1'!M73-'6.1'!M74)/1.18</f>
        <v>94.670512560000006</v>
      </c>
      <c r="M27" s="68"/>
      <c r="R27" s="44"/>
    </row>
    <row r="28" spans="1:18" x14ac:dyDescent="0.25">
      <c r="A28" s="67" t="s">
        <v>121</v>
      </c>
      <c r="B28" s="59" t="s">
        <v>122</v>
      </c>
      <c r="C28" s="55">
        <f t="shared" si="3"/>
        <v>0</v>
      </c>
      <c r="D28" s="55">
        <f t="shared" si="3"/>
        <v>0</v>
      </c>
      <c r="E28" s="55"/>
      <c r="F28" s="55"/>
      <c r="G28" s="55"/>
      <c r="H28" s="55"/>
      <c r="I28" s="55"/>
      <c r="J28" s="55"/>
      <c r="K28" s="55"/>
      <c r="L28" s="55"/>
      <c r="M28" s="68"/>
    </row>
    <row r="29" spans="1:18" ht="31.5" x14ac:dyDescent="0.25">
      <c r="A29" s="67" t="s">
        <v>123</v>
      </c>
      <c r="B29" s="59" t="s">
        <v>124</v>
      </c>
      <c r="C29" s="55">
        <f t="shared" si="3"/>
        <v>0</v>
      </c>
      <c r="D29" s="55">
        <f t="shared" si="3"/>
        <v>0</v>
      </c>
      <c r="E29" s="55"/>
      <c r="F29" s="55"/>
      <c r="G29" s="55"/>
      <c r="H29" s="55"/>
      <c r="I29" s="55"/>
      <c r="J29" s="55"/>
      <c r="K29" s="55"/>
      <c r="L29" s="55"/>
      <c r="M29" s="68"/>
    </row>
    <row r="30" spans="1:18" x14ac:dyDescent="0.25">
      <c r="A30" s="67" t="s">
        <v>42</v>
      </c>
      <c r="B30" s="59" t="s">
        <v>125</v>
      </c>
      <c r="C30" s="55">
        <f t="shared" si="3"/>
        <v>0</v>
      </c>
      <c r="D30" s="55">
        <f t="shared" si="3"/>
        <v>0</v>
      </c>
      <c r="E30" s="55"/>
      <c r="F30" s="55"/>
      <c r="G30" s="55"/>
      <c r="H30" s="55"/>
      <c r="I30" s="55"/>
      <c r="J30" s="55"/>
      <c r="K30" s="55"/>
      <c r="L30" s="55"/>
      <c r="M30" s="68"/>
    </row>
    <row r="31" spans="1:18" x14ac:dyDescent="0.25">
      <c r="A31" s="67" t="s">
        <v>46</v>
      </c>
      <c r="B31" s="59" t="s">
        <v>126</v>
      </c>
      <c r="C31" s="55">
        <f t="shared" si="3"/>
        <v>0</v>
      </c>
      <c r="D31" s="55">
        <f t="shared" si="3"/>
        <v>0</v>
      </c>
      <c r="E31" s="55"/>
      <c r="F31" s="55"/>
      <c r="G31" s="55"/>
      <c r="H31" s="55"/>
      <c r="I31" s="55"/>
      <c r="J31" s="55"/>
      <c r="K31" s="55"/>
      <c r="L31" s="55"/>
      <c r="M31" s="68"/>
    </row>
    <row r="32" spans="1:18" x14ac:dyDescent="0.25">
      <c r="A32" s="67" t="s">
        <v>127</v>
      </c>
      <c r="B32" s="59" t="s">
        <v>128</v>
      </c>
      <c r="C32" s="55">
        <f t="shared" si="3"/>
        <v>0</v>
      </c>
      <c r="D32" s="55">
        <f t="shared" si="3"/>
        <v>0</v>
      </c>
      <c r="E32" s="55"/>
      <c r="F32" s="55"/>
      <c r="G32" s="55"/>
      <c r="H32" s="55"/>
      <c r="I32" s="55"/>
      <c r="J32" s="55"/>
      <c r="K32" s="55"/>
      <c r="L32" s="55"/>
      <c r="M32" s="68"/>
    </row>
    <row r="33" spans="1:13" ht="32.25" thickBot="1" x14ac:dyDescent="0.3">
      <c r="A33" s="70" t="s">
        <v>129</v>
      </c>
      <c r="B33" s="71" t="s">
        <v>130</v>
      </c>
      <c r="C33" s="55">
        <f t="shared" si="3"/>
        <v>0</v>
      </c>
      <c r="D33" s="55">
        <f t="shared" si="3"/>
        <v>0</v>
      </c>
      <c r="E33" s="72"/>
      <c r="F33" s="72"/>
      <c r="G33" s="72"/>
      <c r="H33" s="72"/>
      <c r="I33" s="72"/>
      <c r="J33" s="72"/>
      <c r="K33" s="72"/>
      <c r="L33" s="72"/>
      <c r="M33" s="73"/>
    </row>
    <row r="34" spans="1:13" s="47" customFormat="1" x14ac:dyDescent="0.25">
      <c r="A34" s="74" t="s">
        <v>48</v>
      </c>
      <c r="B34" s="63" t="s">
        <v>131</v>
      </c>
      <c r="C34" s="75">
        <f t="shared" ref="C34:L34" si="5">SUM(C35:C41)</f>
        <v>0</v>
      </c>
      <c r="D34" s="75">
        <f t="shared" si="5"/>
        <v>39.788543809999993</v>
      </c>
      <c r="E34" s="64">
        <f t="shared" si="5"/>
        <v>0</v>
      </c>
      <c r="F34" s="64">
        <f t="shared" si="5"/>
        <v>5.3473918000000005</v>
      </c>
      <c r="G34" s="64">
        <f t="shared" si="5"/>
        <v>0</v>
      </c>
      <c r="H34" s="64">
        <f t="shared" si="5"/>
        <v>13.134292669999999</v>
      </c>
      <c r="I34" s="64">
        <f t="shared" si="5"/>
        <v>0</v>
      </c>
      <c r="J34" s="64">
        <f t="shared" si="5"/>
        <v>5.9498027100000002</v>
      </c>
      <c r="K34" s="64">
        <f t="shared" si="5"/>
        <v>0</v>
      </c>
      <c r="L34" s="64">
        <f t="shared" si="5"/>
        <v>15.357056629999999</v>
      </c>
      <c r="M34" s="76"/>
    </row>
    <row r="35" spans="1:13" x14ac:dyDescent="0.25">
      <c r="A35" s="67" t="s">
        <v>50</v>
      </c>
      <c r="B35" s="59" t="s">
        <v>132</v>
      </c>
      <c r="C35" s="55">
        <f t="shared" ref="C35:D41" si="6">E35+G35+I35+K35</f>
        <v>0</v>
      </c>
      <c r="D35" s="55">
        <f t="shared" si="6"/>
        <v>39.788543809999993</v>
      </c>
      <c r="E35" s="55"/>
      <c r="F35" s="55">
        <f>'6.1'!G74/1.18</f>
        <v>5.3473918000000005</v>
      </c>
      <c r="G35" s="55"/>
      <c r="H35" s="55">
        <f>'6.1'!I74/1.18</f>
        <v>13.134292669999999</v>
      </c>
      <c r="I35" s="55"/>
      <c r="J35" s="55">
        <f>'6.1'!K74/1.18</f>
        <v>5.9498027100000002</v>
      </c>
      <c r="K35" s="55"/>
      <c r="L35" s="55">
        <f>'6.1'!M74/1.18</f>
        <v>15.357056629999999</v>
      </c>
      <c r="M35" s="68"/>
    </row>
    <row r="36" spans="1:13" x14ac:dyDescent="0.25">
      <c r="A36" s="67" t="s">
        <v>69</v>
      </c>
      <c r="B36" s="59" t="s">
        <v>133</v>
      </c>
      <c r="C36" s="55">
        <f t="shared" si="6"/>
        <v>0</v>
      </c>
      <c r="D36" s="55">
        <f t="shared" si="6"/>
        <v>0</v>
      </c>
      <c r="E36" s="55"/>
      <c r="F36" s="55"/>
      <c r="G36" s="55"/>
      <c r="H36" s="55"/>
      <c r="I36" s="55"/>
      <c r="J36" s="55"/>
      <c r="K36" s="55"/>
      <c r="L36" s="55"/>
      <c r="M36" s="68"/>
    </row>
    <row r="37" spans="1:13" ht="21.75" customHeight="1" x14ac:dyDescent="0.25">
      <c r="A37" s="77" t="s">
        <v>80</v>
      </c>
      <c r="B37" s="59" t="s">
        <v>134</v>
      </c>
      <c r="C37" s="55">
        <f t="shared" si="6"/>
        <v>0</v>
      </c>
      <c r="D37" s="55">
        <f t="shared" si="6"/>
        <v>0</v>
      </c>
      <c r="E37" s="78"/>
      <c r="F37" s="78"/>
      <c r="G37" s="58"/>
      <c r="H37" s="58"/>
      <c r="I37" s="58"/>
      <c r="J37" s="58"/>
      <c r="K37" s="58"/>
      <c r="L37" s="58"/>
      <c r="M37" s="57"/>
    </row>
    <row r="38" spans="1:13" x14ac:dyDescent="0.25">
      <c r="A38" s="77" t="s">
        <v>86</v>
      </c>
      <c r="B38" s="59" t="s">
        <v>135</v>
      </c>
      <c r="C38" s="55">
        <f t="shared" si="6"/>
        <v>0</v>
      </c>
      <c r="D38" s="55">
        <f t="shared" si="6"/>
        <v>0</v>
      </c>
      <c r="E38" s="78"/>
      <c r="F38" s="78"/>
      <c r="G38" s="58"/>
      <c r="H38" s="58"/>
      <c r="I38" s="58"/>
      <c r="J38" s="58"/>
      <c r="K38" s="58"/>
      <c r="L38" s="58"/>
      <c r="M38" s="57"/>
    </row>
    <row r="39" spans="1:13" x14ac:dyDescent="0.25">
      <c r="A39" s="67" t="s">
        <v>87</v>
      </c>
      <c r="B39" s="59" t="s">
        <v>136</v>
      </c>
      <c r="C39" s="55">
        <f t="shared" si="6"/>
        <v>0</v>
      </c>
      <c r="D39" s="55">
        <f t="shared" si="6"/>
        <v>0</v>
      </c>
      <c r="E39" s="78"/>
      <c r="F39" s="78"/>
      <c r="G39" s="58"/>
      <c r="H39" s="58"/>
      <c r="I39" s="58"/>
      <c r="J39" s="58"/>
      <c r="K39" s="58"/>
      <c r="L39" s="58"/>
      <c r="M39" s="57"/>
    </row>
    <row r="40" spans="1:13" x14ac:dyDescent="0.25">
      <c r="A40" s="67" t="s">
        <v>89</v>
      </c>
      <c r="B40" s="59" t="s">
        <v>137</v>
      </c>
      <c r="C40" s="55">
        <f t="shared" si="6"/>
        <v>0</v>
      </c>
      <c r="D40" s="55">
        <f t="shared" si="6"/>
        <v>0</v>
      </c>
      <c r="E40" s="78"/>
      <c r="F40" s="78"/>
      <c r="G40" s="58"/>
      <c r="H40" s="58"/>
      <c r="I40" s="58"/>
      <c r="J40" s="58"/>
      <c r="K40" s="58"/>
      <c r="L40" s="58"/>
      <c r="M40" s="57"/>
    </row>
    <row r="41" spans="1:13" ht="16.5" thickBot="1" x14ac:dyDescent="0.3">
      <c r="A41" s="70" t="s">
        <v>138</v>
      </c>
      <c r="B41" s="71" t="s">
        <v>139</v>
      </c>
      <c r="C41" s="79">
        <f>E41+G41+I41+K41</f>
        <v>0</v>
      </c>
      <c r="D41" s="55">
        <f t="shared" si="6"/>
        <v>0</v>
      </c>
      <c r="E41" s="80"/>
      <c r="F41" s="80"/>
      <c r="G41" s="81"/>
      <c r="H41" s="81"/>
      <c r="I41" s="81"/>
      <c r="J41" s="81"/>
      <c r="K41" s="81"/>
      <c r="L41" s="81"/>
      <c r="M41" s="82"/>
    </row>
    <row r="42" spans="1:13" s="47" customFormat="1" ht="31.5" x14ac:dyDescent="0.25">
      <c r="A42" s="83"/>
      <c r="B42" s="63" t="s">
        <v>140</v>
      </c>
      <c r="C42" s="75">
        <f>C34+C18</f>
        <v>163.643</v>
      </c>
      <c r="D42" s="75">
        <f t="shared" ref="D42:L42" si="7">D34+D18</f>
        <v>208.03756991</v>
      </c>
      <c r="E42" s="84">
        <f t="shared" si="7"/>
        <v>9.1107457627118649</v>
      </c>
      <c r="F42" s="84">
        <f t="shared" si="7"/>
        <v>21.981844060000004</v>
      </c>
      <c r="G42" s="84">
        <f t="shared" si="7"/>
        <v>23.45</v>
      </c>
      <c r="H42" s="84">
        <f t="shared" si="7"/>
        <v>34.411182660000001</v>
      </c>
      <c r="I42" s="84">
        <f t="shared" si="7"/>
        <v>0</v>
      </c>
      <c r="J42" s="84">
        <f t="shared" si="7"/>
        <v>34.425834160000008</v>
      </c>
      <c r="K42" s="84">
        <f t="shared" si="7"/>
        <v>0</v>
      </c>
      <c r="L42" s="84">
        <f t="shared" si="7"/>
        <v>117.21870903000001</v>
      </c>
      <c r="M42" s="85"/>
    </row>
    <row r="43" spans="1:13" x14ac:dyDescent="0.25">
      <c r="A43" s="86"/>
      <c r="B43" s="59" t="s">
        <v>141</v>
      </c>
      <c r="C43" s="87"/>
      <c r="D43" s="87"/>
      <c r="E43" s="87"/>
      <c r="F43" s="87"/>
      <c r="G43" s="56"/>
      <c r="H43" s="56"/>
      <c r="I43" s="56"/>
      <c r="J43" s="56"/>
      <c r="K43" s="56"/>
      <c r="L43" s="56"/>
      <c r="M43" s="57"/>
    </row>
    <row r="44" spans="1:13" x14ac:dyDescent="0.25">
      <c r="A44" s="86"/>
      <c r="B44" s="88" t="s">
        <v>142</v>
      </c>
      <c r="C44" s="87"/>
      <c r="D44" s="87"/>
      <c r="E44" s="87"/>
      <c r="F44" s="87"/>
      <c r="G44" s="56"/>
      <c r="H44" s="56"/>
      <c r="I44" s="56"/>
      <c r="J44" s="56"/>
      <c r="K44" s="56"/>
      <c r="L44" s="56"/>
      <c r="M44" s="57"/>
    </row>
    <row r="45" spans="1:13" ht="16.5" thickBot="1" x14ac:dyDescent="0.3">
      <c r="A45" s="89"/>
      <c r="B45" s="90" t="s">
        <v>143</v>
      </c>
      <c r="C45" s="91"/>
      <c r="D45" s="91"/>
      <c r="E45" s="91"/>
      <c r="F45" s="91"/>
      <c r="G45" s="92"/>
      <c r="H45" s="92"/>
      <c r="I45" s="92"/>
      <c r="J45" s="92"/>
      <c r="K45" s="92"/>
      <c r="L45" s="92"/>
      <c r="M45" s="82"/>
    </row>
    <row r="46" spans="1:13" x14ac:dyDescent="0.25">
      <c r="A46" s="93"/>
      <c r="B46" s="94"/>
      <c r="C46" s="95"/>
      <c r="D46" s="95"/>
      <c r="E46" s="95"/>
      <c r="F46" s="95"/>
      <c r="G46" s="96"/>
      <c r="H46" s="96"/>
      <c r="I46" s="96"/>
      <c r="J46" s="96"/>
      <c r="K46" s="96"/>
      <c r="L46" s="96"/>
      <c r="M46" s="96"/>
    </row>
    <row r="47" spans="1:13" x14ac:dyDescent="0.25">
      <c r="A47" s="93" t="s">
        <v>144</v>
      </c>
      <c r="C47" s="66"/>
      <c r="D47" s="66"/>
      <c r="E47" s="66"/>
      <c r="F47" s="66"/>
      <c r="G47" s="66"/>
      <c r="H47" s="66"/>
      <c r="I47" s="66"/>
      <c r="J47" s="66"/>
      <c r="K47" s="66"/>
      <c r="L47" s="66"/>
    </row>
    <row r="48" spans="1:13" x14ac:dyDescent="0.25">
      <c r="A48" s="93" t="s">
        <v>145</v>
      </c>
      <c r="C48" s="66"/>
      <c r="D48" s="66"/>
      <c r="E48" s="66"/>
      <c r="F48" s="66"/>
      <c r="G48" s="66"/>
      <c r="H48" s="66"/>
      <c r="I48" s="66"/>
      <c r="J48" s="66"/>
      <c r="K48" s="66"/>
      <c r="L48" s="66"/>
    </row>
    <row r="49" spans="1:15" x14ac:dyDescent="0.25">
      <c r="A49" s="93"/>
      <c r="C49" s="66"/>
      <c r="D49" s="66"/>
      <c r="E49" s="66"/>
      <c r="F49" s="66"/>
      <c r="G49" s="66"/>
      <c r="H49" s="66"/>
      <c r="I49" s="66"/>
      <c r="J49" s="66"/>
      <c r="K49" s="66"/>
      <c r="L49" s="66"/>
    </row>
    <row r="50" spans="1:15" x14ac:dyDescent="0.25">
      <c r="A50" s="95"/>
      <c r="B50" s="97"/>
      <c r="C50" s="66"/>
      <c r="D50" s="66"/>
      <c r="E50" s="66"/>
      <c r="F50" s="66"/>
      <c r="G50" s="98"/>
      <c r="H50" s="98"/>
      <c r="I50" s="66"/>
      <c r="J50" s="66"/>
      <c r="K50" s="66"/>
      <c r="L50" s="66"/>
      <c r="M50" s="95"/>
      <c r="N50" s="96"/>
      <c r="O50" s="96"/>
    </row>
    <row r="51" spans="1:15" x14ac:dyDescent="0.25">
      <c r="C51" s="66"/>
      <c r="D51" s="66"/>
      <c r="E51" s="66"/>
      <c r="F51" s="66"/>
      <c r="G51" s="66"/>
      <c r="H51" s="66"/>
      <c r="I51" s="66"/>
      <c r="J51" s="66"/>
      <c r="K51" s="66"/>
      <c r="L51" s="66"/>
    </row>
    <row r="52" spans="1:15" x14ac:dyDescent="0.25">
      <c r="C52" s="66"/>
      <c r="D52" s="66"/>
      <c r="E52" s="66"/>
      <c r="F52" s="66"/>
      <c r="G52" s="66"/>
      <c r="H52" s="66"/>
      <c r="I52" s="66"/>
      <c r="J52" s="66"/>
      <c r="K52" s="66"/>
      <c r="L52" s="66"/>
    </row>
    <row r="53" spans="1:15" x14ac:dyDescent="0.25">
      <c r="C53" s="66"/>
      <c r="D53" s="66"/>
      <c r="E53" s="66"/>
      <c r="F53" s="66"/>
      <c r="G53" s="66"/>
      <c r="H53" s="66"/>
      <c r="I53" s="66"/>
      <c r="J53" s="66"/>
      <c r="K53" s="66"/>
      <c r="L53" s="66"/>
    </row>
    <row r="54" spans="1:15" x14ac:dyDescent="0.25">
      <c r="C54" s="66"/>
      <c r="D54" s="66"/>
      <c r="E54" s="66"/>
      <c r="F54" s="66"/>
      <c r="G54" s="66"/>
      <c r="H54" s="66"/>
      <c r="I54" s="66"/>
      <c r="J54" s="66"/>
      <c r="K54" s="66"/>
      <c r="L54" s="66"/>
    </row>
    <row r="55" spans="1:15" x14ac:dyDescent="0.25">
      <c r="C55" s="66"/>
      <c r="D55" s="66"/>
      <c r="E55" s="66"/>
      <c r="F55" s="66"/>
      <c r="G55" s="66"/>
      <c r="H55" s="66"/>
      <c r="I55" s="66"/>
      <c r="J55" s="66"/>
      <c r="K55" s="66"/>
      <c r="L55" s="66"/>
    </row>
    <row r="56" spans="1:15" x14ac:dyDescent="0.25">
      <c r="C56" s="66"/>
      <c r="D56" s="66"/>
      <c r="E56" s="66"/>
      <c r="F56" s="66"/>
      <c r="G56" s="66"/>
      <c r="H56" s="66"/>
      <c r="I56" s="66"/>
      <c r="J56" s="66"/>
      <c r="K56" s="66"/>
      <c r="L56" s="66"/>
    </row>
    <row r="57" spans="1:15" x14ac:dyDescent="0.25">
      <c r="C57" s="66"/>
      <c r="D57" s="66"/>
      <c r="E57" s="66"/>
      <c r="F57" s="66"/>
      <c r="G57" s="66"/>
      <c r="H57" s="66"/>
      <c r="I57" s="66"/>
      <c r="J57" s="66"/>
      <c r="K57" s="66"/>
      <c r="L57" s="66"/>
    </row>
    <row r="58" spans="1:15" x14ac:dyDescent="0.25">
      <c r="C58" s="66"/>
      <c r="D58" s="66"/>
      <c r="E58" s="66"/>
      <c r="F58" s="66"/>
      <c r="G58" s="66"/>
      <c r="H58" s="66"/>
      <c r="I58" s="66"/>
      <c r="J58" s="66"/>
      <c r="K58" s="66"/>
      <c r="L58" s="66"/>
    </row>
    <row r="59" spans="1:15" x14ac:dyDescent="0.25">
      <c r="C59" s="66"/>
      <c r="D59" s="66"/>
      <c r="E59" s="66"/>
      <c r="F59" s="66"/>
      <c r="G59" s="66"/>
      <c r="H59" s="66"/>
      <c r="I59" s="66"/>
      <c r="J59" s="66"/>
      <c r="K59" s="66"/>
      <c r="L59" s="66"/>
    </row>
    <row r="60" spans="1:15" x14ac:dyDescent="0.25">
      <c r="C60" s="66"/>
      <c r="D60" s="66"/>
      <c r="E60" s="66"/>
      <c r="F60" s="66"/>
      <c r="G60" s="66"/>
      <c r="H60" s="66"/>
      <c r="I60" s="66"/>
      <c r="J60" s="66"/>
      <c r="K60" s="66"/>
      <c r="L60" s="66"/>
    </row>
    <row r="61" spans="1:15" x14ac:dyDescent="0.25">
      <c r="C61" s="66"/>
      <c r="D61" s="66"/>
      <c r="E61" s="66"/>
      <c r="F61" s="66"/>
      <c r="G61" s="66"/>
      <c r="H61" s="66"/>
      <c r="I61" s="66"/>
      <c r="J61" s="66"/>
      <c r="K61" s="66"/>
      <c r="L61" s="66"/>
    </row>
    <row r="62" spans="1:15" x14ac:dyDescent="0.25">
      <c r="C62" s="66"/>
      <c r="D62" s="66"/>
      <c r="E62" s="66"/>
      <c r="F62" s="66"/>
      <c r="G62" s="66"/>
      <c r="H62" s="66"/>
      <c r="I62" s="66"/>
      <c r="J62" s="66"/>
      <c r="K62" s="66"/>
      <c r="L62" s="66"/>
    </row>
    <row r="63" spans="1:15" x14ac:dyDescent="0.25">
      <c r="C63" s="66"/>
      <c r="D63" s="66"/>
      <c r="E63" s="66"/>
      <c r="F63" s="66"/>
      <c r="G63" s="66"/>
      <c r="H63" s="66"/>
      <c r="I63" s="66"/>
      <c r="J63" s="66"/>
      <c r="K63" s="66"/>
      <c r="L63" s="66"/>
    </row>
    <row r="64" spans="1:15" x14ac:dyDescent="0.25">
      <c r="C64" s="99"/>
      <c r="D64" s="99"/>
      <c r="E64" s="99"/>
      <c r="F64" s="99"/>
      <c r="G64" s="99"/>
      <c r="H64" s="99"/>
      <c r="I64" s="99"/>
      <c r="J64" s="99"/>
      <c r="K64" s="99"/>
      <c r="L64" s="99"/>
    </row>
    <row r="66" spans="3:12" x14ac:dyDescent="0.25">
      <c r="F66" s="99"/>
      <c r="G66" s="99"/>
      <c r="H66" s="99"/>
      <c r="I66" s="99"/>
      <c r="J66" s="99"/>
      <c r="K66" s="99"/>
      <c r="L66" s="99"/>
    </row>
    <row r="67" spans="3:12" x14ac:dyDescent="0.25">
      <c r="H67" s="66"/>
      <c r="I67" s="66"/>
      <c r="J67" s="66"/>
      <c r="K67" s="66"/>
      <c r="L67" s="66"/>
    </row>
    <row r="68" spans="3:12" x14ac:dyDescent="0.25">
      <c r="C68" s="66"/>
      <c r="D68" s="66"/>
      <c r="E68" s="66"/>
      <c r="F68" s="66"/>
      <c r="G68" s="66"/>
      <c r="H68" s="66"/>
      <c r="I68" s="66"/>
      <c r="J68" s="66"/>
      <c r="K68" s="66"/>
      <c r="L68" s="66"/>
    </row>
    <row r="69" spans="3:12" x14ac:dyDescent="0.25">
      <c r="C69" s="66"/>
      <c r="D69" s="66"/>
      <c r="E69" s="66"/>
      <c r="F69" s="66"/>
      <c r="G69" s="66"/>
      <c r="H69" s="66"/>
      <c r="I69" s="66"/>
      <c r="J69" s="66"/>
      <c r="K69" s="66"/>
      <c r="L69" s="66"/>
    </row>
    <row r="71" spans="3:12" x14ac:dyDescent="0.25">
      <c r="F71" s="100"/>
      <c r="G71" s="100"/>
      <c r="H71" s="100"/>
    </row>
    <row r="72" spans="3:12" x14ac:dyDescent="0.25">
      <c r="C72" s="101"/>
      <c r="F72" s="102"/>
      <c r="H72" s="103"/>
      <c r="I72" s="103"/>
      <c r="J72" s="103"/>
      <c r="L72" s="104"/>
    </row>
    <row r="73" spans="3:12" x14ac:dyDescent="0.25">
      <c r="C73" s="47"/>
      <c r="H73" s="47"/>
    </row>
  </sheetData>
  <mergeCells count="11">
    <mergeCell ref="K16:L16"/>
    <mergeCell ref="A6:M6"/>
    <mergeCell ref="N6:O6"/>
    <mergeCell ref="A15:A17"/>
    <mergeCell ref="B15:B17"/>
    <mergeCell ref="C15:L15"/>
    <mergeCell ref="M15:M17"/>
    <mergeCell ref="C16:D16"/>
    <mergeCell ref="E16:F16"/>
    <mergeCell ref="G16:H16"/>
    <mergeCell ref="I16:J16"/>
  </mergeCells>
  <pageMargins left="0.74" right="0" top="0.2" bottom="0.22" header="0.2" footer="0.2"/>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zoomScale="80" zoomScaleNormal="80" workbookViewId="0">
      <selection activeCell="C73" sqref="C73"/>
    </sheetView>
  </sheetViews>
  <sheetFormatPr defaultRowHeight="15" x14ac:dyDescent="0.25"/>
  <cols>
    <col min="1" max="1" width="7.28515625" customWidth="1"/>
    <col min="2" max="2" width="64.42578125" customWidth="1"/>
    <col min="3" max="3" width="20.7109375" customWidth="1"/>
    <col min="4" max="5" width="19.85546875" customWidth="1"/>
    <col min="6" max="6" width="20.28515625" customWidth="1"/>
    <col min="13" max="13" width="12" customWidth="1"/>
  </cols>
  <sheetData>
    <row r="1" spans="1:13" ht="15.75" x14ac:dyDescent="0.25">
      <c r="A1" s="26"/>
      <c r="B1" s="26"/>
      <c r="C1" s="26"/>
      <c r="D1" s="1"/>
      <c r="E1" s="26"/>
      <c r="F1" s="26"/>
      <c r="G1" s="26"/>
      <c r="H1" s="26"/>
      <c r="I1" s="1"/>
      <c r="J1" s="1"/>
      <c r="K1" s="26"/>
      <c r="L1" s="26"/>
      <c r="M1" s="26"/>
    </row>
    <row r="2" spans="1:13" ht="15.75" x14ac:dyDescent="0.25">
      <c r="A2" s="26"/>
      <c r="B2" s="26"/>
      <c r="C2" s="26"/>
      <c r="D2" s="1"/>
      <c r="E2" s="26"/>
      <c r="F2" s="27" t="s">
        <v>150</v>
      </c>
      <c r="G2" s="26"/>
      <c r="H2" s="26"/>
      <c r="I2" s="1"/>
      <c r="J2" s="1"/>
      <c r="K2" s="26"/>
      <c r="L2" s="26"/>
    </row>
    <row r="3" spans="1:13" ht="15.75" x14ac:dyDescent="0.25">
      <c r="A3" s="26"/>
      <c r="B3" s="26"/>
      <c r="C3" s="26"/>
      <c r="D3" s="1"/>
      <c r="E3" s="26"/>
      <c r="F3" s="27" t="s">
        <v>0</v>
      </c>
      <c r="G3" s="26"/>
      <c r="H3" s="26"/>
      <c r="I3" s="1"/>
      <c r="J3" s="1"/>
      <c r="K3" s="26"/>
      <c r="L3" s="26"/>
    </row>
    <row r="4" spans="1:13" ht="15.75" x14ac:dyDescent="0.25">
      <c r="A4" s="26"/>
      <c r="B4" s="26"/>
      <c r="C4" s="26"/>
      <c r="D4" s="1"/>
      <c r="E4" s="26"/>
      <c r="F4" s="27" t="s">
        <v>99</v>
      </c>
      <c r="G4" s="26"/>
      <c r="H4" s="26"/>
      <c r="I4" s="1"/>
      <c r="J4" s="1"/>
      <c r="K4" s="26"/>
      <c r="L4" s="26"/>
    </row>
    <row r="5" spans="1:13" ht="15.75" x14ac:dyDescent="0.25">
      <c r="A5" s="26"/>
      <c r="B5" s="26"/>
      <c r="C5" s="26"/>
      <c r="D5" s="1"/>
      <c r="E5" s="26"/>
      <c r="F5" s="26"/>
      <c r="G5" s="26"/>
      <c r="H5" s="26"/>
      <c r="I5" s="1"/>
      <c r="J5" s="1"/>
      <c r="K5" s="26"/>
      <c r="L5" s="26"/>
      <c r="M5" s="27"/>
    </row>
    <row r="6" spans="1:13" ht="15.75" x14ac:dyDescent="0.25">
      <c r="A6" s="131" t="s">
        <v>149</v>
      </c>
      <c r="B6" s="131"/>
      <c r="C6" s="131"/>
      <c r="D6" s="131"/>
      <c r="E6" s="131"/>
      <c r="F6" s="131"/>
      <c r="G6" s="31"/>
      <c r="H6" s="31"/>
      <c r="I6" s="31"/>
      <c r="J6" s="31"/>
      <c r="K6" s="31"/>
      <c r="L6" s="31"/>
      <c r="M6" s="31"/>
    </row>
    <row r="7" spans="1:13" ht="15.75" x14ac:dyDescent="0.25">
      <c r="A7" s="28"/>
      <c r="B7" s="28"/>
      <c r="C7" s="28"/>
      <c r="D7" s="29"/>
      <c r="E7" s="28"/>
      <c r="F7" s="27" t="s">
        <v>1</v>
      </c>
      <c r="G7" s="28"/>
      <c r="H7" s="28"/>
      <c r="I7" s="29"/>
      <c r="J7" s="29"/>
      <c r="K7" s="28"/>
      <c r="L7" s="28"/>
      <c r="M7" s="28"/>
    </row>
    <row r="8" spans="1:13" ht="15.75" x14ac:dyDescent="0.25">
      <c r="A8" s="26"/>
      <c r="B8" s="26"/>
      <c r="C8" s="26"/>
      <c r="D8" s="1"/>
      <c r="E8" s="26"/>
      <c r="F8" s="27" t="s">
        <v>2</v>
      </c>
      <c r="G8" s="26"/>
      <c r="H8" s="26"/>
      <c r="I8" s="1"/>
      <c r="J8" s="1"/>
      <c r="K8" s="26"/>
      <c r="L8" s="26"/>
    </row>
    <row r="9" spans="1:13" ht="15.75" x14ac:dyDescent="0.25">
      <c r="A9" s="26"/>
      <c r="B9" s="26"/>
      <c r="C9" s="26"/>
      <c r="D9" s="1"/>
      <c r="E9" s="26"/>
      <c r="F9" s="27"/>
      <c r="G9" s="26"/>
      <c r="H9" s="26"/>
      <c r="I9" s="1"/>
      <c r="J9" s="1"/>
      <c r="K9" s="26"/>
      <c r="L9" s="26"/>
    </row>
    <row r="10" spans="1:13" ht="15.75" x14ac:dyDescent="0.25">
      <c r="A10" s="26"/>
      <c r="B10" s="26"/>
      <c r="C10" s="26"/>
      <c r="D10" s="1"/>
      <c r="E10" s="26"/>
      <c r="F10" s="30" t="s">
        <v>3</v>
      </c>
      <c r="G10" s="26"/>
      <c r="H10" s="26"/>
      <c r="I10" s="1"/>
      <c r="J10" s="1"/>
      <c r="K10" s="26"/>
      <c r="L10" s="26"/>
    </row>
    <row r="11" spans="1:13" ht="15.75" x14ac:dyDescent="0.25">
      <c r="A11" s="26"/>
      <c r="B11" s="26"/>
      <c r="C11" s="26"/>
      <c r="D11" s="1"/>
      <c r="E11" s="26"/>
      <c r="F11" s="27" t="s">
        <v>147</v>
      </c>
      <c r="G11" s="26"/>
      <c r="H11" s="26"/>
      <c r="I11" s="1"/>
      <c r="J11" s="1"/>
      <c r="K11" s="26"/>
      <c r="L11" s="26"/>
    </row>
    <row r="12" spans="1:13" ht="15.75" x14ac:dyDescent="0.25">
      <c r="A12" s="26"/>
      <c r="B12" s="26"/>
      <c r="C12" s="26"/>
      <c r="D12" s="1"/>
      <c r="E12" s="26"/>
      <c r="F12" s="27" t="s">
        <v>4</v>
      </c>
      <c r="G12" s="26"/>
      <c r="H12" s="26"/>
      <c r="I12" s="1"/>
      <c r="J12" s="1"/>
      <c r="K12" s="26"/>
      <c r="L12" s="26"/>
    </row>
    <row r="13" spans="1:13" ht="15.75" x14ac:dyDescent="0.25">
      <c r="A13" s="26"/>
      <c r="B13" s="26"/>
      <c r="C13" s="26"/>
      <c r="D13" s="1"/>
      <c r="E13" s="26"/>
      <c r="F13" s="26"/>
      <c r="G13" s="26"/>
      <c r="H13" s="26"/>
      <c r="I13" s="1"/>
      <c r="J13" s="1"/>
      <c r="K13" s="26"/>
      <c r="L13" s="26"/>
    </row>
    <row r="15" spans="1:13" ht="15.75" x14ac:dyDescent="0.25">
      <c r="A15" s="129" t="s">
        <v>5</v>
      </c>
      <c r="B15" s="129" t="s">
        <v>6</v>
      </c>
      <c r="C15" s="130" t="s">
        <v>153</v>
      </c>
      <c r="D15" s="130"/>
      <c r="E15" s="130" t="s">
        <v>151</v>
      </c>
      <c r="F15" s="130"/>
    </row>
    <row r="16" spans="1:13" ht="15.75" x14ac:dyDescent="0.25">
      <c r="A16" s="129"/>
      <c r="B16" s="129"/>
      <c r="C16" s="32" t="s">
        <v>23</v>
      </c>
      <c r="D16" s="32" t="s">
        <v>24</v>
      </c>
      <c r="E16" s="32" t="s">
        <v>23</v>
      </c>
      <c r="F16" s="32" t="s">
        <v>24</v>
      </c>
    </row>
    <row r="17" spans="1:6" ht="15.75" x14ac:dyDescent="0.25">
      <c r="A17" s="129"/>
      <c r="B17" s="129"/>
      <c r="C17" s="33" t="s">
        <v>152</v>
      </c>
      <c r="D17" s="33" t="s">
        <v>152</v>
      </c>
      <c r="E17" s="33" t="s">
        <v>152</v>
      </c>
      <c r="F17" s="33" t="s">
        <v>152</v>
      </c>
    </row>
    <row r="18" spans="1:6" ht="15.75" x14ac:dyDescent="0.25">
      <c r="A18" s="33">
        <v>1</v>
      </c>
      <c r="B18" s="33">
        <v>2</v>
      </c>
      <c r="C18" s="33">
        <v>3</v>
      </c>
      <c r="D18" s="33">
        <v>4</v>
      </c>
      <c r="E18" s="33">
        <v>5</v>
      </c>
      <c r="F18" s="33">
        <v>6</v>
      </c>
    </row>
    <row r="19" spans="1:6" x14ac:dyDescent="0.25">
      <c r="A19" s="34" t="str">
        <f>'6.1'!A20</f>
        <v>1.1.</v>
      </c>
      <c r="B19" s="34" t="str">
        <f>'6.1'!B20</f>
        <v>Энергосбережение и повышение энергетической эффективности</v>
      </c>
      <c r="C19" s="35"/>
      <c r="D19" s="35"/>
      <c r="E19" s="35"/>
      <c r="F19" s="35"/>
    </row>
    <row r="20" spans="1:6" x14ac:dyDescent="0.25">
      <c r="A20" s="34"/>
      <c r="B20" s="34" t="str">
        <f>'6.1'!B21</f>
        <v>ТП-10/0,4 кВ</v>
      </c>
      <c r="C20" s="35"/>
      <c r="D20" s="35"/>
      <c r="E20" s="35"/>
      <c r="F20" s="35"/>
    </row>
    <row r="21" spans="1:6" ht="38.25" x14ac:dyDescent="0.25">
      <c r="A21" s="34" t="str">
        <f>'6.1'!A22</f>
        <v>1.1.1</v>
      </c>
      <c r="B21" s="105" t="str">
        <f>'6.1'!B22</f>
        <v>Реконструкция ТП</v>
      </c>
      <c r="C21" s="35"/>
      <c r="D21" s="35" t="s">
        <v>187</v>
      </c>
      <c r="E21" s="35">
        <v>0.59</v>
      </c>
      <c r="F21" s="35"/>
    </row>
    <row r="22" spans="1:6" hidden="1" x14ac:dyDescent="0.25">
      <c r="A22" s="34"/>
      <c r="B22" s="34"/>
      <c r="C22" s="35"/>
      <c r="D22" s="35"/>
      <c r="E22" s="35"/>
      <c r="F22" s="35"/>
    </row>
    <row r="23" spans="1:6" x14ac:dyDescent="0.25">
      <c r="A23" s="34"/>
      <c r="B23" s="34" t="str">
        <f>'6.1'!B24</f>
        <v>ВЛ-0,4 кВ</v>
      </c>
      <c r="C23" s="35"/>
      <c r="D23" s="35"/>
      <c r="E23" s="35"/>
      <c r="F23" s="35"/>
    </row>
    <row r="24" spans="1:6" hidden="1" x14ac:dyDescent="0.25">
      <c r="A24" s="34"/>
      <c r="B24" s="34"/>
      <c r="C24" s="35"/>
      <c r="D24" s="35"/>
      <c r="E24" s="35"/>
      <c r="F24" s="35"/>
    </row>
    <row r="25" spans="1:6" hidden="1" x14ac:dyDescent="0.25">
      <c r="A25" s="34"/>
      <c r="B25" s="34"/>
      <c r="C25" s="35"/>
      <c r="D25" s="35"/>
      <c r="E25" s="35"/>
      <c r="F25" s="35"/>
    </row>
    <row r="26" spans="1:6" x14ac:dyDescent="0.25">
      <c r="A26" s="34"/>
      <c r="B26" s="34" t="str">
        <f>'6.1'!B27</f>
        <v>Реконструкция РП-10 кВ</v>
      </c>
      <c r="C26" s="35"/>
      <c r="D26" s="35"/>
      <c r="E26" s="35"/>
      <c r="F26" s="35"/>
    </row>
    <row r="27" spans="1:6" ht="25.5" x14ac:dyDescent="0.25">
      <c r="A27" s="34" t="str">
        <f>'6.1'!A28</f>
        <v>1.1.2</v>
      </c>
      <c r="B27" s="105" t="str">
        <f>'6.1'!B28</f>
        <v>Реконструкция РП с заменой вводных и секционного МВ на ВВ, реконструкция схемы РЗА</v>
      </c>
      <c r="C27" s="35"/>
      <c r="D27" s="35" t="s">
        <v>185</v>
      </c>
      <c r="E27" s="35">
        <v>1</v>
      </c>
      <c r="F27" s="35"/>
    </row>
    <row r="28" spans="1:6" x14ac:dyDescent="0.25">
      <c r="A28" s="34" t="str">
        <f>'6.1'!A29</f>
        <v>1.2.</v>
      </c>
      <c r="B28" s="34" t="str">
        <f>'6.1'!B29</f>
        <v>Создание систем противоаварийной и режимной автоматики</v>
      </c>
      <c r="C28" s="35"/>
      <c r="D28" s="35"/>
      <c r="E28" s="35"/>
      <c r="F28" s="35"/>
    </row>
    <row r="29" spans="1:6" x14ac:dyDescent="0.25">
      <c r="A29" s="34" t="str">
        <f>'6.1'!A30</f>
        <v>1.3.</v>
      </c>
      <c r="B29" s="34" t="str">
        <f>'6.1'!B30</f>
        <v xml:space="preserve">Создание систем телемеханики  и связи </v>
      </c>
      <c r="C29" s="35"/>
      <c r="D29" s="35"/>
      <c r="E29" s="35"/>
      <c r="F29" s="35"/>
    </row>
    <row r="30" spans="1:6" x14ac:dyDescent="0.25">
      <c r="A30" s="34" t="str">
        <f>'6.1'!A31</f>
        <v>1.3.1</v>
      </c>
      <c r="B30" s="105" t="str">
        <f>'6.1'!B31</f>
        <v>Модернизация АИИС КУЭ нижнего уровня</v>
      </c>
      <c r="C30" s="35"/>
      <c r="D30" s="35">
        <v>614</v>
      </c>
      <c r="E30" s="35"/>
      <c r="F30" s="35"/>
    </row>
    <row r="31" spans="1:6" x14ac:dyDescent="0.25">
      <c r="A31" s="34" t="str">
        <f>'6.1'!A32</f>
        <v>1.3.2</v>
      </c>
      <c r="B31" s="105" t="str">
        <f>'6.1'!B32</f>
        <v>Нов.стр-во АИИС КУЭ "Меркурий"</v>
      </c>
      <c r="C31" s="35"/>
      <c r="D31" s="35">
        <v>2014</v>
      </c>
      <c r="E31" s="35"/>
      <c r="F31" s="35"/>
    </row>
    <row r="32" spans="1:6" ht="25.5" x14ac:dyDescent="0.25">
      <c r="A32" s="34" t="str">
        <f>'6.1'!A33</f>
        <v>1.4.</v>
      </c>
      <c r="B32" s="105" t="str">
        <f>'6.1'!B33</f>
        <v>Установка устройств регулирования напряжения и компенсации реактивной мощности</v>
      </c>
      <c r="C32" s="35"/>
      <c r="D32" s="35"/>
      <c r="E32" s="35"/>
      <c r="F32" s="35"/>
    </row>
    <row r="33" spans="1:6" x14ac:dyDescent="0.25">
      <c r="A33" s="34" t="str">
        <f>'6.1'!A34</f>
        <v>2.</v>
      </c>
      <c r="B33" s="34" t="str">
        <f>'6.1'!B34</f>
        <v>Новое строительство</v>
      </c>
      <c r="C33" s="35"/>
      <c r="D33" s="35"/>
      <c r="E33" s="35"/>
      <c r="F33" s="35"/>
    </row>
    <row r="34" spans="1:6" x14ac:dyDescent="0.25">
      <c r="A34" s="34" t="str">
        <f>'6.1'!A35</f>
        <v>2.1.</v>
      </c>
      <c r="B34" s="34" t="str">
        <f>'6.1'!B35</f>
        <v>Энергосбережение и повышение энергетической эффективности</v>
      </c>
      <c r="C34" s="35"/>
      <c r="D34" s="35"/>
      <c r="E34" s="35"/>
      <c r="F34" s="35"/>
    </row>
    <row r="35" spans="1:6" x14ac:dyDescent="0.25">
      <c r="A35" s="34"/>
      <c r="B35" s="34" t="str">
        <f>'6.1'!B36</f>
        <v>КЛ-10 кВ</v>
      </c>
      <c r="C35" s="35"/>
      <c r="D35" s="35"/>
      <c r="E35" s="35"/>
      <c r="F35" s="35"/>
    </row>
    <row r="36" spans="1:6" x14ac:dyDescent="0.25">
      <c r="A36" s="34" t="str">
        <f>'6.1'!A37</f>
        <v>2.1.1</v>
      </c>
      <c r="B36" s="105" t="str">
        <f>'6.1'!B37</f>
        <v>Нов. строительство КЛ-10 кВ ГПП Заягорба</v>
      </c>
      <c r="C36" s="35"/>
      <c r="D36" s="35">
        <v>6.2530000000000001</v>
      </c>
      <c r="E36" s="35"/>
      <c r="F36" s="35"/>
    </row>
    <row r="37" spans="1:6" x14ac:dyDescent="0.25">
      <c r="A37" s="34" t="str">
        <f>'6.1'!A38</f>
        <v>2.1.2</v>
      </c>
      <c r="B37" s="105" t="str">
        <f>'6.1'!B38</f>
        <v>Нов. строительство каб.блок к ПС "Южная"</v>
      </c>
      <c r="C37" s="35"/>
      <c r="D37" s="35"/>
      <c r="E37" s="35"/>
      <c r="F37" s="35"/>
    </row>
    <row r="38" spans="1:6" x14ac:dyDescent="0.25">
      <c r="A38" s="34" t="str">
        <f>'6.1'!A39</f>
        <v>2.1.3</v>
      </c>
      <c r="B38" s="105" t="str">
        <f>'6.1'!B39</f>
        <v>Нов. строительство КЛ-10 кВ мкр.126 в восточной части ЗШК</v>
      </c>
      <c r="C38" s="35"/>
      <c r="D38" s="35"/>
      <c r="E38" s="35"/>
      <c r="F38" s="35"/>
    </row>
    <row r="39" spans="1:6" ht="25.5" x14ac:dyDescent="0.25">
      <c r="A39" s="34" t="str">
        <f>'6.1'!A40</f>
        <v>2.1.4</v>
      </c>
      <c r="B39" s="105" t="str">
        <f>'6.1'!B40</f>
        <v>Нов. строительство КЛ-10 кВ РП-8 - ТП-207, РП-8 - ТП-133 из зоны строительства в р-не ул. Гоголя,54</v>
      </c>
      <c r="C39" s="35"/>
      <c r="D39" s="35"/>
      <c r="E39" s="35"/>
      <c r="F39" s="35"/>
    </row>
    <row r="40" spans="1:6" x14ac:dyDescent="0.25">
      <c r="A40" s="34" t="str">
        <f>'6.1'!A41</f>
        <v>2.1.5</v>
      </c>
      <c r="B40" s="105" t="str">
        <f>'6.1'!B41</f>
        <v>Нов. строительство КЛ-10 кВ ГПП-9 - РП-17</v>
      </c>
      <c r="C40" s="35">
        <v>0.11</v>
      </c>
      <c r="D40" s="35">
        <v>0.123</v>
      </c>
      <c r="E40" s="35"/>
      <c r="F40" s="35"/>
    </row>
    <row r="41" spans="1:6" x14ac:dyDescent="0.25">
      <c r="A41" s="34" t="str">
        <f>'6.1'!A42</f>
        <v>2.1.6</v>
      </c>
      <c r="B41" s="105" t="str">
        <f>'6.1'!B42</f>
        <v>Нов. строит-во БКТП-150А до ТП-150 в ЗШК</v>
      </c>
      <c r="C41" s="35"/>
      <c r="D41" s="35"/>
      <c r="E41" s="35"/>
      <c r="F41" s="35"/>
    </row>
    <row r="42" spans="1:6" x14ac:dyDescent="0.25">
      <c r="A42" s="34" t="str">
        <f>'6.1'!A43</f>
        <v>2.1.7</v>
      </c>
      <c r="B42" s="105" t="str">
        <f>'6.1'!B43</f>
        <v>Нов. строит-во РП-27а-БКТП-1063</v>
      </c>
      <c r="C42" s="35"/>
      <c r="D42" s="35"/>
      <c r="E42" s="35"/>
      <c r="F42" s="35"/>
    </row>
    <row r="43" spans="1:6" x14ac:dyDescent="0.25">
      <c r="A43" s="34" t="str">
        <f>'6.1'!A44</f>
        <v>2.1.8</v>
      </c>
      <c r="B43" s="105" t="str">
        <f>'6.1'!B44</f>
        <v>Нов. строит-во РП-27а-БКТП-100А</v>
      </c>
      <c r="C43" s="35"/>
      <c r="D43" s="35"/>
      <c r="E43" s="35"/>
      <c r="F43" s="35"/>
    </row>
    <row r="44" spans="1:6" x14ac:dyDescent="0.25">
      <c r="A44" s="34" t="str">
        <f>'6.1'!A45</f>
        <v>2.1.9</v>
      </c>
      <c r="B44" s="105" t="str">
        <f>'6.1'!B45</f>
        <v>Нов. строительство КЛ-10 кВ ТП-805 - ТП-73</v>
      </c>
      <c r="C44" s="35">
        <v>0.09</v>
      </c>
      <c r="D44" s="35">
        <v>0.09</v>
      </c>
      <c r="E44" s="35"/>
      <c r="F44" s="35"/>
    </row>
    <row r="45" spans="1:6" x14ac:dyDescent="0.25">
      <c r="A45" s="34"/>
      <c r="B45" s="34" t="str">
        <f>'6.1'!B46</f>
        <v>ТП-10/0,4 кВ</v>
      </c>
      <c r="C45" s="35"/>
      <c r="D45" s="35"/>
      <c r="E45" s="35"/>
      <c r="F45" s="35"/>
    </row>
    <row r="46" spans="1:6" x14ac:dyDescent="0.25">
      <c r="A46" s="34" t="str">
        <f>'6.1'!A47</f>
        <v>2.1.10</v>
      </c>
      <c r="B46" s="105" t="str">
        <f>'6.1'!B47</f>
        <v>Нов. Строительство ТП-10/0,4кВ для эл.снабж.126 мкр</v>
      </c>
      <c r="C46" s="35"/>
      <c r="D46" s="35" t="s">
        <v>188</v>
      </c>
      <c r="E46" s="35"/>
      <c r="F46" s="35"/>
    </row>
    <row r="47" spans="1:6" ht="15" hidden="1" customHeight="1" x14ac:dyDescent="0.25">
      <c r="A47" s="34"/>
      <c r="B47" s="34"/>
      <c r="C47" s="35"/>
      <c r="D47" s="35"/>
      <c r="E47" s="35"/>
      <c r="F47" s="35"/>
    </row>
    <row r="48" spans="1:6" x14ac:dyDescent="0.25">
      <c r="A48" s="34"/>
      <c r="B48" s="34" t="str">
        <f>'6.1'!B49</f>
        <v>РП</v>
      </c>
      <c r="C48" s="35"/>
      <c r="D48" s="35"/>
      <c r="E48" s="35"/>
      <c r="F48" s="35"/>
    </row>
    <row r="49" spans="1:6" x14ac:dyDescent="0.25">
      <c r="A49" s="34" t="str">
        <f>'6.1'!A50</f>
        <v>2.1.11</v>
      </c>
      <c r="B49" s="105" t="str">
        <f>'6.1'!B50</f>
        <v>Нов. строит-во РП в 108 мкр.</v>
      </c>
      <c r="C49" s="35"/>
      <c r="D49" s="35"/>
      <c r="E49" s="35"/>
      <c r="F49" s="35"/>
    </row>
    <row r="50" spans="1:6" ht="15" hidden="1" customHeight="1" x14ac:dyDescent="0.25">
      <c r="A50" s="34"/>
      <c r="B50" s="34" t="str">
        <f>'6.1'!B51</f>
        <v>КЛ-0,4 кВ</v>
      </c>
      <c r="C50" s="35"/>
      <c r="D50" s="35"/>
      <c r="E50" s="35"/>
      <c r="F50" s="35"/>
    </row>
    <row r="51" spans="1:6" ht="15" hidden="1" customHeight="1" x14ac:dyDescent="0.25">
      <c r="A51" s="34"/>
      <c r="B51" s="34"/>
      <c r="C51" s="35"/>
      <c r="D51" s="35"/>
      <c r="E51" s="35"/>
      <c r="F51" s="35"/>
    </row>
    <row r="52" spans="1:6" ht="15" hidden="1" customHeight="1" x14ac:dyDescent="0.25">
      <c r="A52" s="34"/>
      <c r="B52" s="34"/>
      <c r="C52" s="35"/>
      <c r="D52" s="35"/>
      <c r="E52" s="35"/>
      <c r="F52" s="35"/>
    </row>
    <row r="53" spans="1:6" x14ac:dyDescent="0.25">
      <c r="A53" s="34"/>
      <c r="B53" s="34" t="str">
        <f>'6.1'!B54</f>
        <v>ВЛ-0,4 кВ</v>
      </c>
      <c r="C53" s="35"/>
      <c r="D53" s="35"/>
      <c r="E53" s="35"/>
      <c r="F53" s="35"/>
    </row>
    <row r="54" spans="1:6" ht="25.5" x14ac:dyDescent="0.25">
      <c r="A54" s="34" t="str">
        <f>'6.1'!A55</f>
        <v>2.1.12</v>
      </c>
      <c r="B54" s="105" t="str">
        <f>'6.1'!B55</f>
        <v>Нов.строительство ВЛ-0,4кВ ул. Якунинская мкр 126 малоэтажная застройка</v>
      </c>
      <c r="C54" s="35"/>
      <c r="D54" s="35">
        <v>3.1120000000000001</v>
      </c>
      <c r="E54" s="35"/>
      <c r="F54" s="35"/>
    </row>
    <row r="55" spans="1:6" x14ac:dyDescent="0.25">
      <c r="A55" s="34" t="str">
        <f>'6.1'!A56</f>
        <v>2.1.13</v>
      </c>
      <c r="B55" s="105" t="str">
        <f>'6.1'!B56</f>
        <v>Нов.строительство ВЛ-0,4кВ РУ-0,4кВ ТП-9А по ул. Осенней в п. Кадуй</v>
      </c>
      <c r="C55" s="35">
        <v>0.12</v>
      </c>
      <c r="D55" s="35">
        <v>0.12</v>
      </c>
      <c r="E55" s="35"/>
      <c r="F55" s="35"/>
    </row>
    <row r="56" spans="1:6" x14ac:dyDescent="0.25">
      <c r="A56" s="34" t="str">
        <f>'6.1'!A57</f>
        <v>2.1.14</v>
      </c>
      <c r="B56" s="105" t="str">
        <f>'6.1'!B57</f>
        <v>Нов.строительство ВЛ-0,4кВ ТП-57 с тер-ии ж/д ул. Мелиоративная 26А</v>
      </c>
      <c r="C56" s="35">
        <v>2.7E-2</v>
      </c>
      <c r="D56" s="35">
        <v>2.7E-2</v>
      </c>
      <c r="E56" s="35"/>
      <c r="F56" s="35"/>
    </row>
    <row r="57" spans="1:6" x14ac:dyDescent="0.25">
      <c r="A57" s="34" t="str">
        <f>'6.1'!A58</f>
        <v>2.2.</v>
      </c>
      <c r="B57" s="34" t="str">
        <f>'6.1'!B58</f>
        <v>Прочее новое строительство</v>
      </c>
      <c r="C57" s="35"/>
      <c r="D57" s="35"/>
      <c r="E57" s="35"/>
      <c r="F57" s="35"/>
    </row>
    <row r="58" spans="1:6" ht="25.5" x14ac:dyDescent="0.25">
      <c r="A58" s="34" t="str">
        <f>'6.1'!A59</f>
        <v>2.2.1</v>
      </c>
      <c r="B58" s="105" t="str">
        <f>'6.1'!B59</f>
        <v>Развитие и поддержание в работоспособном состоянии  информационой системы предприятия</v>
      </c>
      <c r="C58" s="35"/>
      <c r="D58" s="35" t="s">
        <v>189</v>
      </c>
      <c r="E58" s="35"/>
      <c r="F58" s="35"/>
    </row>
    <row r="59" spans="1:6" ht="25.5" x14ac:dyDescent="0.25">
      <c r="A59" s="34" t="str">
        <f>'6.1'!A60</f>
        <v>2.2.2</v>
      </c>
      <c r="B59" s="105" t="str">
        <f>'6.1'!B60</f>
        <v>Внедрение интегрированной системы охраны объектов электросетевого хозяйства предприятия</v>
      </c>
      <c r="C59" s="35"/>
      <c r="D59" s="35"/>
      <c r="E59" s="35"/>
      <c r="F59" s="35"/>
    </row>
    <row r="60" spans="1:6" x14ac:dyDescent="0.25">
      <c r="A60" s="34" t="str">
        <f>'6.1'!A61</f>
        <v>2.2.3</v>
      </c>
      <c r="B60" s="105" t="str">
        <f>'6.1'!B61</f>
        <v>Охранная сигнализация кабельного тоннеля по Октябрьскому проспекту</v>
      </c>
      <c r="C60" s="35"/>
      <c r="D60" s="35" t="s">
        <v>190</v>
      </c>
      <c r="E60" s="35"/>
      <c r="F60" s="35"/>
    </row>
    <row r="61" spans="1:6" x14ac:dyDescent="0.25">
      <c r="A61" s="34" t="str">
        <f>'6.1'!A62</f>
        <v>2.2.4</v>
      </c>
      <c r="B61" s="105" t="str">
        <f>'6.1'!B62</f>
        <v>Освещение кабельного тонеля по Октябрьскому проспекту</v>
      </c>
      <c r="C61" s="35"/>
      <c r="D61" s="35" t="s">
        <v>190</v>
      </c>
      <c r="E61" s="35"/>
      <c r="F61" s="35"/>
    </row>
    <row r="62" spans="1:6" ht="25.5" x14ac:dyDescent="0.25">
      <c r="A62" s="34" t="str">
        <f>'6.1'!A63</f>
        <v>2.2.5</v>
      </c>
      <c r="B62" s="105" t="str">
        <f>'6.1'!B63</f>
        <v>Единая автоматизированная система технологического управления электросетевым комплексом</v>
      </c>
      <c r="C62" s="35"/>
      <c r="D62" s="35"/>
      <c r="E62" s="35"/>
      <c r="F62" s="35"/>
    </row>
    <row r="63" spans="1:6" x14ac:dyDescent="0.25">
      <c r="A63" s="34" t="str">
        <f>'6.1'!A64</f>
        <v>2.2.6</v>
      </c>
      <c r="B63" s="105" t="str">
        <f>'6.1'!B64</f>
        <v>Реконструкция здания Шекснинский пр.27а дисп.комплекс</v>
      </c>
      <c r="C63" s="35"/>
      <c r="D63" s="35" t="s">
        <v>190</v>
      </c>
      <c r="E63" s="35"/>
      <c r="F63" s="35"/>
    </row>
    <row r="64" spans="1:6" x14ac:dyDescent="0.25">
      <c r="A64" s="34" t="str">
        <f>'6.1'!A65</f>
        <v>2.2.7</v>
      </c>
      <c r="B64" s="105" t="str">
        <f>'6.1'!B65</f>
        <v>Монтаж автоматической системы пожаротушения</v>
      </c>
      <c r="C64" s="35"/>
      <c r="D64" s="35" t="s">
        <v>190</v>
      </c>
      <c r="E64" s="35"/>
      <c r="F64" s="35"/>
    </row>
    <row r="65" spans="1:6" x14ac:dyDescent="0.25">
      <c r="A65" s="34" t="str">
        <f>'6.1'!A66</f>
        <v>2.2.8</v>
      </c>
      <c r="B65" s="105" t="str">
        <f>'6.1'!B66</f>
        <v>Прочее (приобретение эл.оборудования)</v>
      </c>
      <c r="C65" s="35"/>
      <c r="D65" s="35" t="s">
        <v>191</v>
      </c>
      <c r="E65" s="35"/>
      <c r="F65" s="35"/>
    </row>
    <row r="66" spans="1:6" x14ac:dyDescent="0.25">
      <c r="A66" s="34" t="str">
        <f>'6.1'!A67</f>
        <v>2.2.9</v>
      </c>
      <c r="B66" s="105" t="str">
        <f>'6.1'!B67</f>
        <v>Реконструкция ТП-839 (дренаж)</v>
      </c>
      <c r="C66" s="35"/>
      <c r="D66" s="35"/>
      <c r="E66" s="35"/>
      <c r="F66" s="35"/>
    </row>
    <row r="67" spans="1:6" x14ac:dyDescent="0.25">
      <c r="A67" s="34" t="str">
        <f>'6.1'!A68</f>
        <v>2.2.10</v>
      </c>
      <c r="B67" s="105" t="str">
        <f>'6.1'!B68</f>
        <v>Охранно-пожарная сигнализация в камерах от ГПП "Искра"</v>
      </c>
      <c r="C67" s="35"/>
      <c r="D67" s="35" t="s">
        <v>190</v>
      </c>
      <c r="E67" s="35"/>
      <c r="F67" s="35"/>
    </row>
    <row r="68" spans="1:6" x14ac:dyDescent="0.25">
      <c r="A68" s="34" t="str">
        <f>'6.1'!A69</f>
        <v>2.3.</v>
      </c>
      <c r="B68" s="34" t="str">
        <f>'6.1'!B69</f>
        <v>Приобретение автотранспорта</v>
      </c>
      <c r="C68" s="35"/>
      <c r="D68" s="35"/>
      <c r="E68" s="35"/>
      <c r="F68" s="35"/>
    </row>
    <row r="69" spans="1:6" x14ac:dyDescent="0.25">
      <c r="A69" s="34" t="str">
        <f>'6.1'!A70</f>
        <v>2.3.1</v>
      </c>
      <c r="B69" s="105" t="str">
        <f>'6.1'!B70</f>
        <v>Ш.Нива (УАЗ-3163)</v>
      </c>
      <c r="C69" s="35"/>
      <c r="D69" s="35" t="s">
        <v>192</v>
      </c>
      <c r="E69" s="35">
        <v>1</v>
      </c>
      <c r="F69" s="35"/>
    </row>
    <row r="70" spans="1:6" x14ac:dyDescent="0.25">
      <c r="A70" s="34" t="str">
        <f>'6.1'!A71</f>
        <v>2.3.2</v>
      </c>
      <c r="B70" s="105" t="str">
        <f>'6.1'!B71</f>
        <v>ГАЗ - 27527</v>
      </c>
      <c r="C70" s="35"/>
      <c r="D70" s="35" t="s">
        <v>192</v>
      </c>
      <c r="E70" s="35">
        <v>1</v>
      </c>
      <c r="F70" s="35"/>
    </row>
    <row r="71" spans="1:6" x14ac:dyDescent="0.25">
      <c r="A71" s="34" t="str">
        <f>'6.1'!A72</f>
        <v>2.3.3</v>
      </c>
      <c r="B71" s="105" t="str">
        <f>'6.1'!B72</f>
        <v>Форд Фокус (Hyundai Elantra)</v>
      </c>
      <c r="C71" s="35"/>
      <c r="D71" s="35" t="s">
        <v>192</v>
      </c>
      <c r="E71" s="35">
        <v>1</v>
      </c>
      <c r="F71" s="35"/>
    </row>
    <row r="72" spans="1:6" ht="63.75" customHeight="1" x14ac:dyDescent="0.25">
      <c r="A72" s="34" t="str">
        <f>'6.1'!A73</f>
        <v>2.4.</v>
      </c>
      <c r="B72" s="34" t="str">
        <f>'6.1'!B73</f>
        <v>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v>
      </c>
      <c r="C72" s="35" t="s">
        <v>193</v>
      </c>
      <c r="D72" s="35" t="s">
        <v>194</v>
      </c>
      <c r="E72" s="35"/>
      <c r="F72" s="35"/>
    </row>
    <row r="73" spans="1:6" ht="42" customHeight="1" x14ac:dyDescent="0.25">
      <c r="A73" s="34" t="str">
        <f>'6.1'!A74</f>
        <v>2.5.</v>
      </c>
      <c r="B73" s="34" t="str">
        <f>'6.1'!B74</f>
        <v>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от 15 кВт</v>
      </c>
      <c r="C73" s="35"/>
      <c r="D73" s="35"/>
      <c r="E73" s="35"/>
      <c r="F73" s="35"/>
    </row>
  </sheetData>
  <mergeCells count="5">
    <mergeCell ref="A15:A17"/>
    <mergeCell ref="B15:B17"/>
    <mergeCell ref="C15:D15"/>
    <mergeCell ref="E15:F15"/>
    <mergeCell ref="A6:F6"/>
  </mergeCells>
  <pageMargins left="0.70866141732283472" right="0.70866141732283472" top="0.74803149606299213" bottom="0.74803149606299213" header="0.31496062992125984" footer="0.31496062992125984"/>
  <pageSetup paperSize="9" scale="5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6.1</vt:lpstr>
      <vt:lpstr>6.2</vt:lpstr>
      <vt:lpstr>6.3</vt:lpstr>
      <vt:lpstr>'6.3'!Заголовки_для_печати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2017-05-17T09:54:48Z</dcterms:modified>
</cp:coreProperties>
</file>